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030" windowWidth="7530" windowHeight="5010" activeTab="2"/>
  </bookViews>
  <sheets>
    <sheet name="Chart1" sheetId="2" r:id="rId1"/>
    <sheet name="Sheet1" sheetId="3" r:id="rId2"/>
    <sheet name="TABLE5" sheetId="1" r:id="rId3"/>
  </sheets>
  <definedNames>
    <definedName name="_xlnm.Print_Area" localSheetId="2">TABLE5!$A$1:$K$338</definedName>
    <definedName name="_xlnm.Print_Area">TABLE5!$P$641:$V$691</definedName>
  </definedNames>
  <calcPr calcId="144525"/>
</workbook>
</file>

<file path=xl/calcChain.xml><?xml version="1.0" encoding="utf-8"?>
<calcChain xmlns="http://schemas.openxmlformats.org/spreadsheetml/2006/main">
  <c r="E37" i="3" l="1"/>
  <c r="F37" i="3"/>
  <c r="B14" i="1"/>
  <c r="C14" i="1"/>
  <c r="D14" i="1"/>
  <c r="E14" i="1"/>
  <c r="H14" i="1"/>
  <c r="K14" i="1"/>
  <c r="E16" i="1"/>
  <c r="K16" i="1"/>
  <c r="E17" i="1"/>
  <c r="K17" i="1"/>
  <c r="E18" i="1"/>
  <c r="K18" i="1"/>
  <c r="E19" i="1"/>
  <c r="K19" i="1"/>
  <c r="E20" i="1"/>
  <c r="K20" i="1"/>
  <c r="E21" i="1"/>
  <c r="K21" i="1"/>
  <c r="E22" i="1"/>
  <c r="K22" i="1"/>
  <c r="E23" i="1"/>
  <c r="I23" i="1"/>
  <c r="I14" i="1" s="1"/>
  <c r="J23" i="1"/>
  <c r="J14" i="1" s="1"/>
  <c r="E24" i="1"/>
  <c r="E25" i="1"/>
  <c r="B36" i="1"/>
  <c r="E36" i="1"/>
  <c r="H36" i="1"/>
  <c r="K36" i="1"/>
  <c r="E38" i="1"/>
  <c r="K38" i="1"/>
  <c r="E39" i="1"/>
  <c r="K39" i="1"/>
  <c r="E40" i="1"/>
  <c r="K40" i="1"/>
  <c r="E41" i="1"/>
  <c r="K41" i="1"/>
  <c r="E42" i="1"/>
  <c r="K42" i="1"/>
  <c r="E43" i="1"/>
  <c r="K43" i="1"/>
  <c r="C44" i="1"/>
  <c r="C36" i="1" s="1"/>
  <c r="D44" i="1"/>
  <c r="D36" i="1" s="1"/>
  <c r="K44" i="1"/>
  <c r="I45" i="1"/>
  <c r="I36" i="1" s="1"/>
  <c r="J45" i="1"/>
  <c r="J36" i="1" s="1"/>
  <c r="B61" i="1"/>
  <c r="C61" i="1"/>
  <c r="D61" i="1"/>
  <c r="E61" i="1"/>
  <c r="H61" i="1"/>
  <c r="K61" i="1"/>
  <c r="E63" i="1"/>
  <c r="I63" i="1"/>
  <c r="K63" i="1"/>
  <c r="E64" i="1"/>
  <c r="K64" i="1"/>
  <c r="E65" i="1"/>
  <c r="K65" i="1"/>
  <c r="E66" i="1"/>
  <c r="K66" i="1"/>
  <c r="E67" i="1"/>
  <c r="K67" i="1"/>
  <c r="E68" i="1"/>
  <c r="K68" i="1"/>
  <c r="E69" i="1"/>
  <c r="K69" i="1"/>
  <c r="E70" i="1"/>
  <c r="K70" i="1"/>
  <c r="E71" i="1"/>
  <c r="I71" i="1"/>
  <c r="J71" i="1"/>
  <c r="J61" i="1" s="1"/>
  <c r="E72" i="1"/>
  <c r="B83" i="1"/>
  <c r="E83" i="1"/>
  <c r="H83" i="1"/>
  <c r="K83" i="1"/>
  <c r="E85" i="1"/>
  <c r="K85" i="1"/>
  <c r="E86" i="1"/>
  <c r="K86" i="1"/>
  <c r="E87" i="1"/>
  <c r="K87" i="1"/>
  <c r="E88" i="1"/>
  <c r="K88" i="1"/>
  <c r="E89" i="1"/>
  <c r="K89" i="1"/>
  <c r="E90" i="1"/>
  <c r="K90" i="1"/>
  <c r="E91" i="1"/>
  <c r="K91" i="1"/>
  <c r="C92" i="1"/>
  <c r="C83" i="1" s="1"/>
  <c r="D92" i="1"/>
  <c r="D83" i="1" s="1"/>
  <c r="E92" i="1"/>
  <c r="K92" i="1"/>
  <c r="I93" i="1"/>
  <c r="I83" i="1" s="1"/>
  <c r="J93" i="1"/>
  <c r="J83" i="1" s="1"/>
  <c r="K93" i="1"/>
  <c r="B109" i="1"/>
  <c r="C109" i="1"/>
  <c r="D109" i="1"/>
  <c r="E109" i="1"/>
  <c r="H109" i="1"/>
  <c r="K109" i="1"/>
  <c r="E111" i="1"/>
  <c r="K111" i="1"/>
  <c r="E112" i="1"/>
  <c r="K112" i="1"/>
  <c r="E113" i="1"/>
  <c r="K113" i="1"/>
  <c r="E114" i="1"/>
  <c r="K114" i="1"/>
  <c r="E115" i="1"/>
  <c r="K115" i="1"/>
  <c r="E116" i="1"/>
  <c r="K116" i="1"/>
  <c r="E117" i="1"/>
  <c r="K117" i="1"/>
  <c r="E118" i="1"/>
  <c r="K118" i="1"/>
  <c r="E119" i="1"/>
  <c r="I119" i="1"/>
  <c r="I109" i="1" s="1"/>
  <c r="J119" i="1"/>
  <c r="J109" i="1" s="1"/>
  <c r="E120" i="1"/>
  <c r="B131" i="1"/>
  <c r="C131" i="1"/>
  <c r="D131" i="1"/>
  <c r="E131" i="1"/>
  <c r="H131" i="1"/>
  <c r="K131" i="1"/>
  <c r="E133" i="1"/>
  <c r="K133" i="1"/>
  <c r="E134" i="1"/>
  <c r="K134" i="1"/>
  <c r="E135" i="1"/>
  <c r="K135" i="1"/>
  <c r="E136" i="1"/>
  <c r="K136" i="1"/>
  <c r="E137" i="1"/>
  <c r="K137" i="1"/>
  <c r="E138" i="1"/>
  <c r="K138" i="1"/>
  <c r="E139" i="1"/>
  <c r="I139" i="1"/>
  <c r="I131" i="1" s="1"/>
  <c r="J139" i="1"/>
  <c r="K139" i="1" s="1"/>
  <c r="E140" i="1"/>
  <c r="E141" i="1"/>
  <c r="E142" i="1"/>
  <c r="B158" i="1"/>
  <c r="E158" i="1"/>
  <c r="H158" i="1"/>
  <c r="K158" i="1"/>
  <c r="E160" i="1"/>
  <c r="K160" i="1"/>
  <c r="E161" i="1"/>
  <c r="K161" i="1"/>
  <c r="E162" i="1"/>
  <c r="K162" i="1"/>
  <c r="E163" i="1"/>
  <c r="K163" i="1"/>
  <c r="E164" i="1"/>
  <c r="K164" i="1"/>
  <c r="E165" i="1"/>
  <c r="K165" i="1"/>
  <c r="E166" i="1"/>
  <c r="K166" i="1"/>
  <c r="C167" i="1"/>
  <c r="C158" i="1" s="1"/>
  <c r="D167" i="1"/>
  <c r="D158" i="1" s="1"/>
  <c r="K167" i="1"/>
  <c r="I168" i="1"/>
  <c r="I158" i="1" s="1"/>
  <c r="J168" i="1"/>
  <c r="J158" i="1" s="1"/>
  <c r="B179" i="1"/>
  <c r="C179" i="1"/>
  <c r="D179" i="1"/>
  <c r="E179" i="1"/>
  <c r="H179" i="1"/>
  <c r="K179" i="1"/>
  <c r="E181" i="1"/>
  <c r="K181" i="1"/>
  <c r="E182" i="1"/>
  <c r="K182" i="1"/>
  <c r="E183" i="1"/>
  <c r="K183" i="1"/>
  <c r="E184" i="1"/>
  <c r="K184" i="1"/>
  <c r="E185" i="1"/>
  <c r="K185" i="1"/>
  <c r="E186" i="1"/>
  <c r="K186" i="1"/>
  <c r="E187" i="1"/>
  <c r="K187" i="1"/>
  <c r="E188" i="1"/>
  <c r="K188" i="1"/>
  <c r="E189" i="1"/>
  <c r="I189" i="1"/>
  <c r="I179" i="1" s="1"/>
  <c r="J189" i="1"/>
  <c r="K189" i="1" s="1"/>
  <c r="E190" i="1"/>
  <c r="O205" i="1"/>
  <c r="B206" i="1"/>
  <c r="C206" i="1"/>
  <c r="D206" i="1"/>
  <c r="E206" i="1"/>
  <c r="H206" i="1"/>
  <c r="K206" i="1"/>
  <c r="E208" i="1"/>
  <c r="K208" i="1"/>
  <c r="E209" i="1"/>
  <c r="K209" i="1"/>
  <c r="E210" i="1"/>
  <c r="K210" i="1"/>
  <c r="E211" i="1"/>
  <c r="K211" i="1"/>
  <c r="E212" i="1"/>
  <c r="K212" i="1"/>
  <c r="E213" i="1"/>
  <c r="K213" i="1"/>
  <c r="E214" i="1"/>
  <c r="K214" i="1"/>
  <c r="E215" i="1"/>
  <c r="K215" i="1"/>
  <c r="E216" i="1"/>
  <c r="I216" i="1"/>
  <c r="I206" i="1" s="1"/>
  <c r="J216" i="1"/>
  <c r="K216" i="1" s="1"/>
  <c r="E217" i="1"/>
  <c r="B228" i="1"/>
  <c r="E228" i="1"/>
  <c r="E230" i="1"/>
  <c r="Y230" i="1"/>
  <c r="Z230" i="1"/>
  <c r="H230" i="1" s="1"/>
  <c r="AA230" i="1"/>
  <c r="AB230" i="1"/>
  <c r="AC230" i="1"/>
  <c r="I230" i="1" s="1"/>
  <c r="E231" i="1"/>
  <c r="Y231" i="1"/>
  <c r="Z231" i="1"/>
  <c r="H231" i="1" s="1"/>
  <c r="AA231" i="1"/>
  <c r="AB231" i="1"/>
  <c r="AC231" i="1"/>
  <c r="I231" i="1" s="1"/>
  <c r="E232" i="1"/>
  <c r="Y232" i="1"/>
  <c r="Z232" i="1"/>
  <c r="H232" i="1" s="1"/>
  <c r="AA232" i="1"/>
  <c r="AB232" i="1"/>
  <c r="AC232" i="1"/>
  <c r="I232" i="1" s="1"/>
  <c r="E233" i="1"/>
  <c r="Y233" i="1"/>
  <c r="Z233" i="1"/>
  <c r="H233" i="1" s="1"/>
  <c r="AA233" i="1"/>
  <c r="AB233" i="1"/>
  <c r="AC233" i="1"/>
  <c r="I233" i="1" s="1"/>
  <c r="E234" i="1"/>
  <c r="Y234" i="1"/>
  <c r="Z234" i="1"/>
  <c r="H234" i="1" s="1"/>
  <c r="AA234" i="1"/>
  <c r="AB234" i="1"/>
  <c r="AC234" i="1"/>
  <c r="I234" i="1" s="1"/>
  <c r="E235" i="1"/>
  <c r="Y235" i="1"/>
  <c r="Z235" i="1"/>
  <c r="H235" i="1" s="1"/>
  <c r="AA235" i="1"/>
  <c r="AB235" i="1"/>
  <c r="AC235" i="1"/>
  <c r="I235" i="1" s="1"/>
  <c r="E236" i="1"/>
  <c r="Y236" i="1"/>
  <c r="Z236" i="1"/>
  <c r="H236" i="1" s="1"/>
  <c r="AA236" i="1"/>
  <c r="AB236" i="1"/>
  <c r="AC236" i="1"/>
  <c r="I236" i="1" s="1"/>
  <c r="E237" i="1"/>
  <c r="Y237" i="1"/>
  <c r="Z237" i="1"/>
  <c r="H237" i="1" s="1"/>
  <c r="AA237" i="1"/>
  <c r="AB237" i="1"/>
  <c r="AC237" i="1"/>
  <c r="I237" i="1" s="1"/>
  <c r="C238" i="1"/>
  <c r="C228" i="1" s="1"/>
  <c r="D238" i="1"/>
  <c r="D228" i="1" s="1"/>
  <c r="Y238" i="1"/>
  <c r="Z238" i="1"/>
  <c r="H238" i="1" s="1"/>
  <c r="AA238" i="1"/>
  <c r="AB238" i="1"/>
  <c r="AC238" i="1"/>
  <c r="I238" i="1" s="1"/>
  <c r="B254" i="1"/>
  <c r="C254" i="1"/>
  <c r="D254" i="1"/>
  <c r="E254" i="1"/>
  <c r="H254" i="1"/>
  <c r="I254" i="1"/>
  <c r="J254" i="1"/>
  <c r="K254" i="1"/>
  <c r="E256" i="1"/>
  <c r="K256" i="1"/>
  <c r="E257" i="1"/>
  <c r="K257" i="1"/>
  <c r="E258" i="1"/>
  <c r="K258" i="1"/>
  <c r="E259" i="1"/>
  <c r="K259" i="1"/>
  <c r="E260" i="1"/>
  <c r="K260" i="1"/>
  <c r="E261" i="1"/>
  <c r="K261" i="1"/>
  <c r="E262" i="1"/>
  <c r="K262" i="1"/>
  <c r="E263" i="1"/>
  <c r="K263" i="1"/>
  <c r="E264" i="1"/>
  <c r="K264" i="1"/>
  <c r="E265" i="1"/>
  <c r="K265" i="1"/>
  <c r="B276" i="1"/>
  <c r="C276" i="1"/>
  <c r="D276" i="1"/>
  <c r="E276" i="1"/>
  <c r="H276" i="1"/>
  <c r="I276" i="1"/>
  <c r="J276" i="1"/>
  <c r="K276" i="1"/>
  <c r="E278" i="1"/>
  <c r="E279" i="1"/>
  <c r="K279" i="1"/>
  <c r="E280" i="1"/>
  <c r="K280" i="1"/>
  <c r="E281" i="1"/>
  <c r="K281" i="1"/>
  <c r="E282" i="1"/>
  <c r="K282" i="1"/>
  <c r="E283" i="1"/>
  <c r="K283" i="1"/>
  <c r="E284" i="1"/>
  <c r="K284" i="1"/>
  <c r="E285" i="1"/>
  <c r="K285" i="1"/>
  <c r="E286" i="1"/>
  <c r="K286" i="1"/>
  <c r="E287" i="1"/>
  <c r="K287" i="1"/>
  <c r="B303" i="1"/>
  <c r="C303" i="1"/>
  <c r="D303" i="1"/>
  <c r="E303" i="1"/>
  <c r="H303" i="1"/>
  <c r="I303" i="1"/>
  <c r="J303" i="1"/>
  <c r="K303" i="1"/>
  <c r="K305" i="1"/>
  <c r="E306" i="1"/>
  <c r="K306" i="1"/>
  <c r="E307" i="1"/>
  <c r="K307" i="1"/>
  <c r="E308" i="1"/>
  <c r="K308" i="1"/>
  <c r="E309" i="1"/>
  <c r="K309" i="1"/>
  <c r="E310" i="1"/>
  <c r="K310" i="1"/>
  <c r="E311" i="1"/>
  <c r="K311" i="1"/>
  <c r="E312" i="1"/>
  <c r="K312" i="1"/>
  <c r="E313" i="1"/>
  <c r="K313" i="1"/>
  <c r="E314" i="1"/>
  <c r="K314" i="1"/>
  <c r="B325" i="1"/>
  <c r="C325" i="1"/>
  <c r="D325" i="1"/>
  <c r="E325" i="1"/>
  <c r="H325" i="1"/>
  <c r="I325" i="1"/>
  <c r="J325" i="1"/>
  <c r="K325" i="1"/>
  <c r="K327" i="1"/>
  <c r="E328" i="1"/>
  <c r="K328" i="1"/>
  <c r="E329" i="1"/>
  <c r="K329" i="1"/>
  <c r="E330" i="1"/>
  <c r="K330" i="1"/>
  <c r="E331" i="1"/>
  <c r="K331" i="1"/>
  <c r="E332" i="1"/>
  <c r="K332" i="1"/>
  <c r="E333" i="1"/>
  <c r="K333" i="1"/>
  <c r="E334" i="1"/>
  <c r="K334" i="1"/>
  <c r="E335" i="1"/>
  <c r="K335" i="1"/>
  <c r="K336" i="1"/>
  <c r="P471" i="1"/>
  <c r="Q471" i="1"/>
  <c r="R471" i="1"/>
  <c r="U471" i="1" s="1"/>
  <c r="P472" i="1"/>
  <c r="Q472" i="1"/>
  <c r="R472" i="1"/>
  <c r="S472" i="1"/>
  <c r="P473" i="1"/>
  <c r="Q473" i="1"/>
  <c r="R473" i="1"/>
  <c r="S473" i="1"/>
  <c r="P474" i="1"/>
  <c r="Q474" i="1"/>
  <c r="R474" i="1"/>
  <c r="S474" i="1"/>
  <c r="T474" i="1"/>
  <c r="U475" i="1"/>
  <c r="V475" i="1" s="1"/>
  <c r="U476" i="1"/>
  <c r="U477" i="1"/>
  <c r="U478" i="1"/>
  <c r="U479" i="1"/>
  <c r="U480" i="1"/>
  <c r="Q644" i="1"/>
  <c r="R644" i="1"/>
  <c r="S644" i="1"/>
  <c r="T644" i="1"/>
  <c r="U644" i="1"/>
  <c r="V644" i="1" s="1"/>
  <c r="V646" i="1"/>
  <c r="V647" i="1"/>
  <c r="V648" i="1"/>
  <c r="V649" i="1"/>
  <c r="V650" i="1"/>
  <c r="Q657" i="1"/>
  <c r="R657" i="1"/>
  <c r="S657" i="1"/>
  <c r="T657" i="1"/>
  <c r="U657" i="1"/>
  <c r="V658" i="1"/>
  <c r="V659" i="1"/>
  <c r="V660" i="1"/>
  <c r="V661" i="1"/>
  <c r="V662" i="1"/>
  <c r="V663" i="1"/>
  <c r="V664" i="1"/>
  <c r="V665" i="1"/>
  <c r="V666" i="1"/>
  <c r="V667" i="1"/>
  <c r="Q671" i="1"/>
  <c r="R671" i="1"/>
  <c r="S671" i="1"/>
  <c r="T671" i="1"/>
  <c r="U671" i="1"/>
  <c r="V672" i="1"/>
  <c r="V673" i="1"/>
  <c r="V674" i="1"/>
  <c r="V675" i="1"/>
  <c r="Q680" i="1"/>
  <c r="R680" i="1"/>
  <c r="S680" i="1"/>
  <c r="T680" i="1"/>
  <c r="U680" i="1"/>
  <c r="Q681" i="1"/>
  <c r="R681" i="1"/>
  <c r="S681" i="1"/>
  <c r="T681" i="1"/>
  <c r="U681" i="1"/>
  <c r="Q682" i="1"/>
  <c r="R682" i="1"/>
  <c r="S682" i="1"/>
  <c r="T682" i="1"/>
  <c r="U682" i="1"/>
  <c r="Q683" i="1"/>
  <c r="R683" i="1"/>
  <c r="S683" i="1"/>
  <c r="T683" i="1"/>
  <c r="U683" i="1"/>
  <c r="Q684" i="1"/>
  <c r="R684" i="1"/>
  <c r="S684" i="1"/>
  <c r="T684" i="1"/>
  <c r="U684" i="1"/>
  <c r="Q685" i="1"/>
  <c r="R685" i="1"/>
  <c r="S685" i="1"/>
  <c r="T685" i="1"/>
  <c r="U685" i="1"/>
  <c r="Q686" i="1"/>
  <c r="R686" i="1"/>
  <c r="S686" i="1"/>
  <c r="T686" i="1"/>
  <c r="U686" i="1"/>
  <c r="Q687" i="1"/>
  <c r="R687" i="1"/>
  <c r="S687" i="1"/>
  <c r="T687" i="1"/>
  <c r="U687" i="1"/>
  <c r="Q688" i="1"/>
  <c r="R688" i="1"/>
  <c r="S688" i="1"/>
  <c r="S691" i="1" s="1"/>
  <c r="T688" i="1"/>
  <c r="U688" i="1"/>
  <c r="U691" i="1" s="1"/>
  <c r="Q689" i="1"/>
  <c r="R689" i="1"/>
  <c r="S689" i="1"/>
  <c r="T689" i="1"/>
  <c r="T690" i="1" s="1"/>
  <c r="U689" i="1"/>
  <c r="R690" i="1"/>
  <c r="K168" i="1" l="1"/>
  <c r="E167" i="1"/>
  <c r="V657" i="1"/>
  <c r="K45" i="1"/>
  <c r="E44" i="1"/>
  <c r="T691" i="1"/>
  <c r="S690" i="1"/>
  <c r="V689" i="1"/>
  <c r="Q690" i="1"/>
  <c r="K119" i="1"/>
  <c r="Q691" i="1"/>
  <c r="R691" i="1"/>
  <c r="V687" i="1"/>
  <c r="V685" i="1"/>
  <c r="V683" i="1"/>
  <c r="V681" i="1"/>
  <c r="V671" i="1"/>
  <c r="U474" i="1"/>
  <c r="I61" i="1"/>
  <c r="U690" i="1"/>
  <c r="V690" i="1" s="1"/>
  <c r="U472" i="1"/>
  <c r="K23" i="1"/>
  <c r="U473" i="1"/>
  <c r="Q470" i="1"/>
  <c r="K228" i="1"/>
  <c r="K238" i="1"/>
  <c r="K237" i="1"/>
  <c r="K235" i="1"/>
  <c r="K233" i="1"/>
  <c r="K231" i="1"/>
  <c r="K230" i="1"/>
  <c r="V691" i="1"/>
  <c r="V688" i="1"/>
  <c r="V686" i="1"/>
  <c r="V684" i="1"/>
  <c r="V682" i="1"/>
  <c r="V680" i="1"/>
  <c r="S470" i="1"/>
  <c r="P470" i="1"/>
  <c r="K236" i="1"/>
  <c r="K234" i="1"/>
  <c r="K232" i="1"/>
  <c r="K71" i="1"/>
  <c r="H228" i="1"/>
  <c r="I228" i="1"/>
  <c r="T470" i="1"/>
  <c r="R470" i="1"/>
  <c r="J238" i="1"/>
  <c r="J237" i="1"/>
  <c r="J236" i="1"/>
  <c r="J235" i="1"/>
  <c r="J234" i="1"/>
  <c r="J233" i="1"/>
  <c r="J232" i="1"/>
  <c r="J231" i="1"/>
  <c r="J230" i="1"/>
  <c r="J206" i="1"/>
  <c r="J179" i="1"/>
  <c r="J131" i="1"/>
  <c r="E238" i="1"/>
  <c r="J228" i="1" l="1"/>
  <c r="U470" i="1"/>
</calcChain>
</file>

<file path=xl/sharedStrings.xml><?xml version="1.0" encoding="utf-8"?>
<sst xmlns="http://schemas.openxmlformats.org/spreadsheetml/2006/main" count="719" uniqueCount="69">
  <si>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</si>
  <si>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</si>
  <si>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</si>
  <si>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</si>
  <si>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</si>
  <si>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</si>
  <si>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</si>
  <si>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</si>
  <si>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</si>
  <si>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</si>
  <si>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</si>
  <si>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</si>
  <si>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</si>
  <si>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</si>
  <si>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</si>
  <si>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</si>
  <si>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</si>
  <si>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</si>
  <si>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</si>
  <si>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</si>
  <si>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</si>
  <si>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</si>
  <si>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</si>
  <si>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</si>
  <si>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</si>
  <si>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</si>
  <si>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</si>
  <si>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</si>
  <si>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</si>
  <si>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</si>
  <si>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</si>
  <si>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</si>
  <si>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</si>
  <si>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</si>
  <si>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</si>
  <si>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</si>
  <si>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</si>
  <si>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</si>
  <si>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</si>
  <si>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</si>
  <si>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</si>
  <si>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</si>
  <si>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</si>
  <si>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</si>
  <si>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</si>
  <si>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</si>
  <si>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</si>
  <si>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</si>
  <si>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</si>
  <si>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</si>
  <si>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</si>
  <si>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</si>
  <si>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</si>
  <si>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</si>
  <si>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SIC 89</t>
  </si>
  <si>
    <t>SIC 86</t>
  </si>
  <si>
    <t>SIC 99</t>
  </si>
  <si>
    <t>TOTALS</t>
  </si>
  <si>
    <t>GOVERNMENT (92)</t>
  </si>
  <si>
    <t>500 &amp;  Over</t>
  </si>
  <si>
    <t>500 - 999</t>
  </si>
  <si>
    <t>10-19</t>
  </si>
  <si>
    <t>1000 &amp; Over</t>
  </si>
  <si>
    <t>totals 81 + 99</t>
  </si>
  <si>
    <t xml:space="preserve"> 500 &amp; Over</t>
  </si>
  <si>
    <t xml:space="preserve">250-499 </t>
  </si>
  <si>
    <t>EDUCATIONAL SERVICES (PRIVATE) (61)</t>
  </si>
  <si>
    <t>Source:  Utah Department of Workforce Services, Workforce Research &amp; Analysis, Annual Report of Labor Market Information, 2010.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</si>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</sst>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\ ;\(&quot;$&quot;#,##0\)"/>
    <numFmt numFmtId="165" formatCode="&quot;$&quot;#,##0"/>
  </numFmts>
  <fonts count="7" x14ac:knownFonts="1">
    <font>
      <sz val="10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3" fontId="0" fillId="0" borderId="0" xfId="0" applyNumberFormat="1"/>
    <xf numFmtId="164" fontId="0" fillId="0" borderId="0" xfId="0" applyNumberFormat="1"/>
    <xf numFmtId="4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quotePrefix="1" applyNumberFormat="1"/>
    <xf numFmtId="165" fontId="0" fillId="0" borderId="0" xfId="0" applyNumberFormat="1"/>
    <xf numFmtId="3" fontId="1" fillId="0" borderId="0" xfId="0" applyNumberFormat="1" applyFont="1" applyFill="1"/>
    <xf numFmtId="3" fontId="1" fillId="0" borderId="0" xfId="0" applyNumberFormat="1" applyFont="1"/>
    <xf numFmtId="3" fontId="2" fillId="0" borderId="0" xfId="0" applyNumberFormat="1" applyFont="1"/>
    <xf numFmtId="165" fontId="2" fillId="0" borderId="0" xfId="0" applyNumberFormat="1" applyFont="1"/>
    <xf numFmtId="3" fontId="3" fillId="0" borderId="0" xfId="0" applyNumberFormat="1" applyFont="1"/>
    <xf numFmtId="3" fontId="0" fillId="0" borderId="0" xfId="0" applyNumberFormat="1" applyAlignment="1"/>
    <xf numFmtId="3" fontId="5" fillId="0" borderId="0" xfId="0" applyNumberFormat="1" applyFont="1"/>
    <xf numFmtId="3" fontId="4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3" fontId="0" fillId="0" borderId="0" xfId="0" applyNumberFormat="1" applyAlignment="1"/>
    <xf numFmtId="164" fontId="2" fillId="0" borderId="0" xfId="0" applyNumberFormat="1" applyFont="1"/>
    <xf numFmtId="3" fontId="2" fillId="0" borderId="0" xfId="0" quotePrefix="1" applyNumberFormat="1" applyFont="1"/>
    <xf numFmtId="3" fontId="6" fillId="0" borderId="0" xfId="0" applyNumberFormat="1" applyFont="1" applyAlignment="1"/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2" xfId="0" applyNumberFormat="1" applyBorder="1"/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6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098779134295227E-2"/>
          <c:y val="1.6313213703099509E-2"/>
          <c:w val="0.97780244173140951"/>
          <c:h val="0.96737357259380097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122944"/>
        <c:axId val="221357184"/>
      </c:barChart>
      <c:catAx>
        <c:axId val="203122944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357184"/>
        <c:crosses val="autoZero"/>
        <c:auto val="1"/>
        <c:lblAlgn val="ctr"/>
        <c:lblOffset val="100"/>
        <c:tickMarkSkip val="1"/>
        <c:noMultiLvlLbl val="0"/>
      </c:catAx>
      <c:valAx>
        <c:axId val="221357184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2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 of Employment by Construction Firm Size; March 2005</a:t>
            </a:r>
          </a:p>
        </c:rich>
      </c:tx>
      <c:layout>
        <c:manualLayout>
          <c:xMode val="edge"/>
          <c:yMode val="edge"/>
          <c:x val="0.13400000000000001"/>
          <c:y val="3.7162162162162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"/>
          <c:y val="0.25675675675675674"/>
          <c:w val="0.42399999999999999"/>
          <c:h val="0.5912162162162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Sheet1!$E$35:$E$46</c:f>
              <c:numCache>
                <c:formatCode>#,##0</c:formatCode>
                <c:ptCount val="8"/>
                <c:pt idx="0">
                  <c:v>2509</c:v>
                </c:pt>
                <c:pt idx="1">
                  <c:v>5021</c:v>
                </c:pt>
                <c:pt idx="2">
                  <c:v>2051</c:v>
                </c:pt>
                <c:pt idx="3">
                  <c:v>1105</c:v>
                </c:pt>
                <c:pt idx="4">
                  <c:v>600</c:v>
                </c:pt>
                <c:pt idx="5">
                  <c:v>147</c:v>
                </c:pt>
                <c:pt idx="6">
                  <c:v>46</c:v>
                </c:pt>
                <c:pt idx="7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Sheet1!$D$35:$D$46</c:f>
              <c:strCache>
                <c:ptCount val="8"/>
                <c:pt idx="0">
                  <c:v>0</c:v>
                </c:pt>
                <c:pt idx="1">
                  <c:v>1-4</c:v>
                </c:pt>
                <c:pt idx="2">
                  <c:v>5-9</c:v>
                </c:pt>
                <c:pt idx="3">
                  <c:v>10-19</c:v>
                </c:pt>
                <c:pt idx="4">
                  <c:v>20-49</c:v>
                </c:pt>
                <c:pt idx="5">
                  <c:v>50-99</c:v>
                </c:pt>
                <c:pt idx="6">
                  <c:v>100-249</c:v>
                </c:pt>
                <c:pt idx="7">
                  <c:v>250 &amp; Over</c:v>
                </c:pt>
              </c:strCache>
            </c:strRef>
          </c:cat>
          <c:val>
            <c:numRef>
              <c:f>Sheet1!$F$35:$F$46</c:f>
              <c:numCache>
                <c:formatCode>#,##0</c:formatCode>
                <c:ptCount val="8"/>
                <c:pt idx="0">
                  <c:v>0</c:v>
                </c:pt>
                <c:pt idx="1">
                  <c:v>10846</c:v>
                </c:pt>
                <c:pt idx="2">
                  <c:v>13412</c:v>
                </c:pt>
                <c:pt idx="3">
                  <c:v>14764</c:v>
                </c:pt>
                <c:pt idx="4">
                  <c:v>17856</c:v>
                </c:pt>
                <c:pt idx="5">
                  <c:v>9860</c:v>
                </c:pt>
                <c:pt idx="6">
                  <c:v>6192</c:v>
                </c:pt>
                <c:pt idx="7">
                  <c:v>1730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61888"/>
        <c:axId val="232272640"/>
      </c:barChart>
      <c:catAx>
        <c:axId val="232261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7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3227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61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"/>
          <c:y val="0.42567567567567566"/>
          <c:w val="0.314"/>
          <c:h val="0.2533783783783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9525</xdr:rowOff>
    </xdr:from>
    <xdr:to>
      <xdr:col>8</xdr:col>
      <xdr:colOff>192405</xdr:colOff>
      <xdr:row>3</xdr:row>
      <xdr:rowOff>142875</xdr:rowOff>
    </xdr:to>
    <xdr:sp macro="" textlink="">
      <xdr:nvSpPr>
        <xdr:cNvPr id="2" name="TextBox 1"/>
        <xdr:cNvSpPr txBox="1"/>
      </xdr:nvSpPr>
      <xdr:spPr>
        <a:xfrm>
          <a:off x="2657475" y="9525"/>
          <a:ext cx="475488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16.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UTAH ESTABLISHMENTS, EMPLOYMENT AND WAGES,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 BY FIRM SIZE AND INDUSTRY, FIRST QUARTER 2010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466725</xdr:colOff>
      <xdr:row>241</xdr:row>
      <xdr:rowOff>22860</xdr:rowOff>
    </xdr:from>
    <xdr:to>
      <xdr:col>8</xdr:col>
      <xdr:colOff>192405</xdr:colOff>
      <xdr:row>243</xdr:row>
      <xdr:rowOff>154305</xdr:rowOff>
    </xdr:to>
    <xdr:sp macro="" textlink="">
      <xdr:nvSpPr>
        <xdr:cNvPr id="9" name="TextBox 8"/>
        <xdr:cNvSpPr txBox="1"/>
      </xdr:nvSpPr>
      <xdr:spPr>
        <a:xfrm>
          <a:off x="2653665" y="37132260"/>
          <a:ext cx="4762500" cy="45148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TABLE 16.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UTAH ESTABLISHMENTS, EMPLOYMENT AND WAGES,</a:t>
          </a:r>
        </a:p>
        <a:p>
          <a:pPr algn="ctr"/>
          <a:r>
            <a:rPr lang="en-US" sz="1050" b="1" baseline="0">
              <a:latin typeface="Arial" pitchFamily="34" charset="0"/>
              <a:cs typeface="Arial" pitchFamily="34" charset="0"/>
            </a:rPr>
            <a:t> BY FIRM SIZE AND INDUSTRY, FIRST QUARTER 2010 (continued)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466725</xdr:colOff>
      <xdr:row>290</xdr:row>
      <xdr:rowOff>13335</xdr:rowOff>
    </xdr:from>
    <xdr:to>
      <xdr:col>8</xdr:col>
      <xdr:colOff>192405</xdr:colOff>
      <xdr:row>292</xdr:row>
      <xdr:rowOff>144780</xdr:rowOff>
    </xdr:to>
    <xdr:sp macro="" textlink="">
      <xdr:nvSpPr>
        <xdr:cNvPr id="10" name="TextBox 9"/>
        <xdr:cNvSpPr txBox="1"/>
      </xdr:nvSpPr>
      <xdr:spPr>
        <a:xfrm>
          <a:off x="2653665" y="45024675"/>
          <a:ext cx="4762500" cy="45148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2010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96</xdr:row>
      <xdr:rowOff>19050</xdr:rowOff>
    </xdr:from>
    <xdr:to>
      <xdr:col>8</xdr:col>
      <xdr:colOff>186690</xdr:colOff>
      <xdr:row>98</xdr:row>
      <xdr:rowOff>152400</xdr:rowOff>
    </xdr:to>
    <xdr:sp macro="" textlink="">
      <xdr:nvSpPr>
        <xdr:cNvPr id="11" name="TextBox 10"/>
        <xdr:cNvSpPr txBox="1"/>
      </xdr:nvSpPr>
      <xdr:spPr>
        <a:xfrm>
          <a:off x="2647950" y="14862810"/>
          <a:ext cx="4762500" cy="45339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2010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145</xdr:row>
      <xdr:rowOff>15240</xdr:rowOff>
    </xdr:from>
    <xdr:to>
      <xdr:col>8</xdr:col>
      <xdr:colOff>186690</xdr:colOff>
      <xdr:row>147</xdr:row>
      <xdr:rowOff>148590</xdr:rowOff>
    </xdr:to>
    <xdr:sp macro="" textlink="">
      <xdr:nvSpPr>
        <xdr:cNvPr id="13" name="TextBox 12"/>
        <xdr:cNvSpPr txBox="1"/>
      </xdr:nvSpPr>
      <xdr:spPr>
        <a:xfrm>
          <a:off x="2647950" y="22440900"/>
          <a:ext cx="4762500" cy="45339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2010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193</xdr:row>
      <xdr:rowOff>13335</xdr:rowOff>
    </xdr:from>
    <xdr:to>
      <xdr:col>8</xdr:col>
      <xdr:colOff>186690</xdr:colOff>
      <xdr:row>195</xdr:row>
      <xdr:rowOff>150495</xdr:rowOff>
    </xdr:to>
    <xdr:sp macro="" textlink="">
      <xdr:nvSpPr>
        <xdr:cNvPr id="15" name="TextBox 14"/>
        <xdr:cNvSpPr txBox="1"/>
      </xdr:nvSpPr>
      <xdr:spPr>
        <a:xfrm>
          <a:off x="2647950" y="29700855"/>
          <a:ext cx="4762500" cy="457200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2010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461010</xdr:colOff>
      <xdr:row>48</xdr:row>
      <xdr:rowOff>26670</xdr:rowOff>
    </xdr:from>
    <xdr:to>
      <xdr:col>8</xdr:col>
      <xdr:colOff>186690</xdr:colOff>
      <xdr:row>51</xdr:row>
      <xdr:rowOff>9525</xdr:rowOff>
    </xdr:to>
    <xdr:sp macro="" textlink="">
      <xdr:nvSpPr>
        <xdr:cNvPr id="16" name="TextBox 15"/>
        <xdr:cNvSpPr txBox="1"/>
      </xdr:nvSpPr>
      <xdr:spPr>
        <a:xfrm>
          <a:off x="2647950" y="7288530"/>
          <a:ext cx="4762500" cy="462915"/>
        </a:xfrm>
        <a:prstGeom prst="rect">
          <a:avLst/>
        </a:prstGeom>
        <a:solidFill>
          <a:schemeClr val="lt1"/>
        </a:solidFill>
        <a:ln w="3175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TABLE 16.</a:t>
          </a:r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UTAH ESTABLISHMENTS, EMPLOYMENT AND WAGES,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  <a:p>
          <a:pPr algn="ctr"/>
          <a:r>
            <a:rPr lang="en-US" sz="105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BY FIRM SIZE AND INDUSTRY, FIRST QUARTER 2010 (continued)</a:t>
          </a:r>
          <a:endParaRPr lang="en-US" sz="1050"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H65"/>
  <sheetViews>
    <sheetView workbookViewId="0">
      <selection activeCell="L49" sqref="L49"/>
    </sheetView>
  </sheetViews>
  <sheetFormatPr defaultRowHeight="12.75" x14ac:dyDescent="0.2"/>
  <cols>
    <col min="3" max="3" width="10.5703125" customWidth="1"/>
    <col min="4" max="4" width="11.7109375" customWidth="1"/>
    <col min="5" max="5" width="12.28515625" customWidth="1"/>
    <col min="6" max="6" width="12.140625" customWidth="1"/>
    <col min="7" max="7" width="15.28515625" customWidth="1"/>
  </cols>
  <sheetData>
    <row r="15" hidden="1" x14ac:dyDescent="0.2"/>
    <row r="16" hidden="1" x14ac:dyDescent="0.2"/>
    <row r="17" spans="4:8" hidden="1" x14ac:dyDescent="0.2">
      <c r="G17" s="5"/>
      <c r="H17" s="1"/>
    </row>
    <row r="18" spans="4:8" hidden="1" x14ac:dyDescent="0.2">
      <c r="D18" s="4"/>
    </row>
    <row r="33" spans="4:6" x14ac:dyDescent="0.2">
      <c r="D33" t="s">
        <v>4</v>
      </c>
      <c r="E33" t="s">
        <v>5</v>
      </c>
      <c r="F33" t="s">
        <v>6</v>
      </c>
    </row>
    <row r="34" spans="4:6" x14ac:dyDescent="0.2">
      <c r="D34" t="s">
        <v>9</v>
      </c>
      <c r="E34" t="s">
        <v>10</v>
      </c>
      <c r="F34" t="s">
        <v>11</v>
      </c>
    </row>
    <row r="35" spans="4:6" hidden="1" x14ac:dyDescent="0.2"/>
    <row r="36" spans="4:6" hidden="1" x14ac:dyDescent="0.2"/>
    <row r="37" spans="4:6" hidden="1" x14ac:dyDescent="0.2">
      <c r="D37" t="s">
        <v>14</v>
      </c>
      <c r="E37">
        <f>SUM(E39:E46)</f>
        <v>11484</v>
      </c>
      <c r="F37">
        <f>SUM(F39:F46)</f>
        <v>74660</v>
      </c>
    </row>
    <row r="38" spans="4:6" hidden="1" x14ac:dyDescent="0.2"/>
    <row r="39" spans="4:6" x14ac:dyDescent="0.2">
      <c r="D39" t="s">
        <v>15</v>
      </c>
      <c r="E39">
        <v>2509</v>
      </c>
      <c r="F39">
        <v>0</v>
      </c>
    </row>
    <row r="40" spans="4:6" x14ac:dyDescent="0.2">
      <c r="D40" t="s">
        <v>16</v>
      </c>
      <c r="E40">
        <v>5021</v>
      </c>
      <c r="F40">
        <v>10846</v>
      </c>
    </row>
    <row r="41" spans="4:6" x14ac:dyDescent="0.2">
      <c r="D41" t="s">
        <v>17</v>
      </c>
      <c r="E41">
        <v>2051</v>
      </c>
      <c r="F41">
        <v>13412</v>
      </c>
    </row>
    <row r="42" spans="4:6" x14ac:dyDescent="0.2">
      <c r="D42" s="4" t="s">
        <v>61</v>
      </c>
      <c r="E42">
        <v>1105</v>
      </c>
      <c r="F42">
        <v>14764</v>
      </c>
    </row>
    <row r="43" spans="4:6" x14ac:dyDescent="0.2">
      <c r="D43" t="s">
        <v>18</v>
      </c>
      <c r="E43">
        <v>600</v>
      </c>
      <c r="F43">
        <v>17856</v>
      </c>
    </row>
    <row r="44" spans="4:6" x14ac:dyDescent="0.2">
      <c r="D44" t="s">
        <v>19</v>
      </c>
      <c r="E44">
        <v>147</v>
      </c>
      <c r="F44">
        <v>9860</v>
      </c>
    </row>
    <row r="45" spans="4:6" x14ac:dyDescent="0.2">
      <c r="D45" t="s">
        <v>20</v>
      </c>
      <c r="E45">
        <v>46</v>
      </c>
      <c r="F45">
        <v>6192</v>
      </c>
    </row>
    <row r="46" spans="4:6" x14ac:dyDescent="0.2">
      <c r="D46" t="s">
        <v>22</v>
      </c>
      <c r="E46">
        <v>5</v>
      </c>
      <c r="F46">
        <v>1730</v>
      </c>
    </row>
    <row r="58" spans="3:5" x14ac:dyDescent="0.2">
      <c r="C58" t="s">
        <v>15</v>
      </c>
      <c r="D58">
        <v>2509</v>
      </c>
      <c r="E58">
        <v>0</v>
      </c>
    </row>
    <row r="59" spans="3:5" x14ac:dyDescent="0.2">
      <c r="C59" t="s">
        <v>16</v>
      </c>
      <c r="D59">
        <v>7530</v>
      </c>
      <c r="E59">
        <v>10846</v>
      </c>
    </row>
    <row r="60" spans="3:5" x14ac:dyDescent="0.2">
      <c r="C60" t="s">
        <v>17</v>
      </c>
      <c r="D60">
        <v>2051</v>
      </c>
      <c r="E60">
        <v>13412</v>
      </c>
    </row>
    <row r="61" spans="3:5" x14ac:dyDescent="0.2">
      <c r="C61" s="4" t="s">
        <v>61</v>
      </c>
      <c r="D61">
        <v>1105</v>
      </c>
      <c r="E61">
        <v>14764</v>
      </c>
    </row>
    <row r="62" spans="3:5" x14ac:dyDescent="0.2">
      <c r="C62" t="s">
        <v>18</v>
      </c>
      <c r="D62">
        <v>600</v>
      </c>
      <c r="E62">
        <v>17856</v>
      </c>
    </row>
    <row r="63" spans="3:5" x14ac:dyDescent="0.2">
      <c r="C63" t="s">
        <v>19</v>
      </c>
      <c r="D63">
        <v>147</v>
      </c>
      <c r="E63">
        <v>9860</v>
      </c>
    </row>
    <row r="64" spans="3:5" x14ac:dyDescent="0.2">
      <c r="C64" t="s">
        <v>20</v>
      </c>
      <c r="D64">
        <v>46</v>
      </c>
      <c r="E64">
        <v>6192</v>
      </c>
    </row>
    <row r="65" spans="3:5" x14ac:dyDescent="0.2">
      <c r="C65" t="s">
        <v>22</v>
      </c>
      <c r="D65">
        <v>5</v>
      </c>
      <c r="E65">
        <v>1730</v>
      </c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771"/>
  <sheetViews>
    <sheetView tabSelected="1" view="pageBreakPreview" topLeftCell="A190" zoomScale="60" zoomScaleNormal="125" workbookViewId="0">
      <selection activeCell="O13" sqref="O13"/>
    </sheetView>
  </sheetViews>
  <sheetFormatPr defaultRowHeight="12.75" x14ac:dyDescent="0.2"/>
  <cols>
    <col min="1" max="1" width="12.7109375" customWidth="1"/>
    <col min="2" max="2" width="20.140625" customWidth="1"/>
    <col min="3" max="3" width="13.7109375" customWidth="1"/>
    <col min="4" max="4" width="15.85546875" customWidth="1"/>
    <col min="5" max="5" width="11.7109375" customWidth="1"/>
    <col min="6" max="6" width="6.7109375" customWidth="1"/>
    <col min="7" max="7" width="12.7109375" customWidth="1"/>
    <col min="8" max="8" width="14.7109375" customWidth="1"/>
    <col min="9" max="9" width="13.7109375" customWidth="1"/>
    <col min="10" max="10" width="17" customWidth="1"/>
    <col min="11" max="11" width="11.7109375" customWidth="1"/>
    <col min="13" max="13" width="12.7109375" customWidth="1"/>
    <col min="14" max="14" width="11.7109375" customWidth="1"/>
    <col min="15" max="15" width="12.7109375" customWidth="1"/>
    <col min="16" max="16" width="14.7109375" customWidth="1"/>
    <col min="17" max="17" width="12.7109375" customWidth="1"/>
    <col min="18" max="18" width="11.140625" bestFit="1" customWidth="1"/>
    <col min="19" max="19" width="12.7109375" customWidth="1"/>
    <col min="20" max="20" width="14.7109375" customWidth="1"/>
    <col min="21" max="21" width="11.7109375" customWidth="1"/>
    <col min="22" max="22" width="14.7109375" customWidth="1"/>
    <col min="23" max="23" width="11.7109375" customWidth="1"/>
    <col min="25" max="25" width="11.140625" bestFit="1" customWidth="1"/>
    <col min="28" max="28" width="10.7109375" customWidth="1"/>
    <col min="32" max="32" width="3.7109375" customWidth="1"/>
    <col min="36" max="36" width="4.7109375" customWidth="1"/>
    <col min="37" max="37" width="15.7109375" customWidth="1"/>
    <col min="41" max="41" width="12.7109375" customWidth="1"/>
    <col min="42" max="43" width="11.7109375" customWidth="1"/>
    <col min="44" max="44" width="14.7109375" customWidth="1"/>
    <col min="45" max="45" width="11.7109375" customWidth="1"/>
    <col min="47" max="47" width="12.7109375" customWidth="1"/>
    <col min="48" max="49" width="11.7109375" customWidth="1"/>
    <col min="50" max="50" width="14.7109375" customWidth="1"/>
    <col min="51" max="51" width="11.7109375" customWidth="1"/>
    <col min="53" max="55" width="11.7109375" customWidth="1"/>
    <col min="56" max="56" width="14.7109375" customWidth="1"/>
    <col min="57" max="57" width="11.7109375" customWidth="1"/>
    <col min="59" max="61" width="11.7109375" customWidth="1"/>
    <col min="62" max="62" width="14.7109375" customWidth="1"/>
    <col min="63" max="63" width="11.7109375" customWidth="1"/>
    <col min="65" max="65" width="12.7109375" customWidth="1"/>
    <col min="66" max="67" width="11.7109375" customWidth="1"/>
    <col min="68" max="68" width="14.7109375" customWidth="1"/>
    <col min="69" max="69" width="11.7109375" customWidth="1"/>
    <col min="71" max="71" width="12.7109375" customWidth="1"/>
    <col min="72" max="73" width="11.7109375" customWidth="1"/>
    <col min="74" max="74" width="14.7109375" customWidth="1"/>
    <col min="75" max="75" width="11.7109375" customWidth="1"/>
  </cols>
  <sheetData>
    <row r="2" spans="1:11" x14ac:dyDescent="0.2">
      <c r="A2" s="22" t="s">
        <v>68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7" spans="1:11" x14ac:dyDescent="0.2">
      <c r="A7" s="8"/>
      <c r="B7" s="8"/>
      <c r="C7" s="12" t="s">
        <v>0</v>
      </c>
      <c r="D7" s="8"/>
      <c r="E7" s="8"/>
      <c r="F7" s="8"/>
      <c r="G7" s="8"/>
      <c r="H7" s="8"/>
      <c r="I7" s="12" t="s">
        <v>1</v>
      </c>
      <c r="J7" s="8"/>
      <c r="K7" s="8"/>
    </row>
    <row r="8" spans="1:1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">
      <c r="A9" s="13"/>
      <c r="B9" s="13"/>
      <c r="C9" s="13"/>
      <c r="D9" s="13" t="s">
        <v>2</v>
      </c>
      <c r="E9" s="13" t="s">
        <v>3</v>
      </c>
      <c r="F9" s="13"/>
      <c r="G9" s="13"/>
      <c r="H9" s="13"/>
      <c r="I9" s="13"/>
      <c r="J9" s="13" t="s">
        <v>2</v>
      </c>
      <c r="K9" s="13" t="s">
        <v>3</v>
      </c>
    </row>
    <row r="10" spans="1:11" x14ac:dyDescent="0.2">
      <c r="A10" s="13" t="s">
        <v>4</v>
      </c>
      <c r="B10" s="13" t="s">
        <v>5</v>
      </c>
      <c r="C10" s="13" t="s">
        <v>6</v>
      </c>
      <c r="D10" s="13" t="s">
        <v>7</v>
      </c>
      <c r="E10" s="13" t="s">
        <v>8</v>
      </c>
      <c r="F10" s="13"/>
      <c r="G10" s="13" t="s">
        <v>4</v>
      </c>
      <c r="H10" s="13" t="s">
        <v>5</v>
      </c>
      <c r="I10" s="13" t="s">
        <v>6</v>
      </c>
      <c r="J10" s="13" t="s">
        <v>7</v>
      </c>
      <c r="K10" s="13" t="s">
        <v>8</v>
      </c>
    </row>
    <row r="11" spans="1:11" s="25" customFormat="1" ht="13.5" thickBot="1" x14ac:dyDescent="0.25">
      <c r="A11" s="14" t="s">
        <v>9</v>
      </c>
      <c r="B11" s="14" t="s">
        <v>10</v>
      </c>
      <c r="C11" s="14" t="s">
        <v>11</v>
      </c>
      <c r="D11" s="14" t="s">
        <v>12</v>
      </c>
      <c r="E11" s="14" t="s">
        <v>13</v>
      </c>
      <c r="F11" s="14"/>
      <c r="G11" s="14" t="s">
        <v>9</v>
      </c>
      <c r="H11" s="14" t="s">
        <v>10</v>
      </c>
      <c r="I11" s="14" t="s">
        <v>11</v>
      </c>
      <c r="J11" s="14" t="s">
        <v>12</v>
      </c>
      <c r="K11" s="14" t="s">
        <v>13</v>
      </c>
    </row>
    <row r="12" spans="1:11" ht="13.5" thickTop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x14ac:dyDescent="0.2">
      <c r="A14" s="8" t="s">
        <v>14</v>
      </c>
      <c r="B14" s="8">
        <f>SUM(B16:B25)</f>
        <v>80400</v>
      </c>
      <c r="C14" s="8">
        <f>SUM(C16:C25)</f>
        <v>1168523</v>
      </c>
      <c r="D14" s="9">
        <f>SUM(D16:D25)</f>
        <v>10827274459</v>
      </c>
      <c r="E14" s="18">
        <f>9315/3</f>
        <v>3105</v>
      </c>
      <c r="F14" s="8"/>
      <c r="G14" s="8" t="s">
        <v>14</v>
      </c>
      <c r="H14" s="8">
        <f>SUM(H16:H25)</f>
        <v>540</v>
      </c>
      <c r="I14" s="8">
        <f>SUM(I16:I25)</f>
        <v>9948</v>
      </c>
      <c r="J14" s="9">
        <f>SUM(J16:J25)</f>
        <v>185732999</v>
      </c>
      <c r="K14" s="18">
        <f>18868/3</f>
        <v>6289.333333333333</v>
      </c>
    </row>
    <row r="15" spans="1:1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x14ac:dyDescent="0.2">
      <c r="A16" s="8" t="s">
        <v>15</v>
      </c>
      <c r="B16" s="8">
        <v>11649</v>
      </c>
      <c r="C16" s="8">
        <v>0</v>
      </c>
      <c r="D16" s="8">
        <v>48261436</v>
      </c>
      <c r="E16" s="8">
        <f>11474/3</f>
        <v>3824.6666666666665</v>
      </c>
      <c r="F16" s="8"/>
      <c r="G16" s="8" t="s">
        <v>15</v>
      </c>
      <c r="H16" s="8">
        <v>73</v>
      </c>
      <c r="I16" s="8">
        <v>0</v>
      </c>
      <c r="J16" s="8">
        <v>938675</v>
      </c>
      <c r="K16" s="8">
        <f>17491/3</f>
        <v>5830.333333333333</v>
      </c>
    </row>
    <row r="17" spans="1:11" x14ac:dyDescent="0.2">
      <c r="A17" s="8" t="s">
        <v>16</v>
      </c>
      <c r="B17" s="8">
        <v>35165</v>
      </c>
      <c r="C17" s="8">
        <v>67974</v>
      </c>
      <c r="D17" s="8">
        <v>634875142</v>
      </c>
      <c r="E17" s="8">
        <f>9450/3</f>
        <v>3150</v>
      </c>
      <c r="F17" s="8"/>
      <c r="G17" s="8" t="s">
        <v>16</v>
      </c>
      <c r="H17" s="8">
        <v>215</v>
      </c>
      <c r="I17" s="8">
        <v>408</v>
      </c>
      <c r="J17" s="8">
        <v>5985910</v>
      </c>
      <c r="K17" s="8">
        <f>14965/3</f>
        <v>4988.333333333333</v>
      </c>
    </row>
    <row r="18" spans="1:11" x14ac:dyDescent="0.2">
      <c r="A18" s="8" t="s">
        <v>17</v>
      </c>
      <c r="B18" s="8">
        <v>13347</v>
      </c>
      <c r="C18" s="8">
        <v>88969</v>
      </c>
      <c r="D18" s="8">
        <v>665565936</v>
      </c>
      <c r="E18" s="8">
        <f>7583/3</f>
        <v>2527.6666666666665</v>
      </c>
      <c r="F18" s="8"/>
      <c r="G18" s="8" t="s">
        <v>17</v>
      </c>
      <c r="H18" s="8">
        <v>80</v>
      </c>
      <c r="I18" s="8">
        <v>528</v>
      </c>
      <c r="J18" s="8">
        <v>5389124</v>
      </c>
      <c r="K18" s="8">
        <f>10194/3</f>
        <v>3398</v>
      </c>
    </row>
    <row r="19" spans="1:11" x14ac:dyDescent="0.2">
      <c r="A19" s="19" t="s">
        <v>61</v>
      </c>
      <c r="B19" s="8">
        <v>9575</v>
      </c>
      <c r="C19" s="8">
        <v>129103</v>
      </c>
      <c r="D19" s="8">
        <v>978652948</v>
      </c>
      <c r="E19" s="8">
        <f>7679/3</f>
        <v>2559.6666666666665</v>
      </c>
      <c r="F19" s="8"/>
      <c r="G19" s="19" t="s">
        <v>61</v>
      </c>
      <c r="H19" s="8">
        <v>73</v>
      </c>
      <c r="I19" s="8">
        <v>951</v>
      </c>
      <c r="J19" s="8">
        <v>12623711</v>
      </c>
      <c r="K19" s="8">
        <f>13279/3</f>
        <v>4426.333333333333</v>
      </c>
    </row>
    <row r="20" spans="1:11" x14ac:dyDescent="0.2">
      <c r="A20" s="8" t="s">
        <v>18</v>
      </c>
      <c r="B20" s="8">
        <v>6423</v>
      </c>
      <c r="C20" s="8">
        <v>194139</v>
      </c>
      <c r="D20" s="8">
        <v>1617081506</v>
      </c>
      <c r="E20" s="8">
        <f>8411/3</f>
        <v>2803.6666666666665</v>
      </c>
      <c r="F20" s="8"/>
      <c r="G20" s="8" t="s">
        <v>18</v>
      </c>
      <c r="H20" s="8">
        <v>61</v>
      </c>
      <c r="I20" s="8">
        <v>1902</v>
      </c>
      <c r="J20" s="8">
        <v>30209392</v>
      </c>
      <c r="K20" s="8">
        <f>16391/3</f>
        <v>5463.666666666667</v>
      </c>
    </row>
    <row r="21" spans="1:11" x14ac:dyDescent="0.2">
      <c r="A21" s="8" t="s">
        <v>19</v>
      </c>
      <c r="B21" s="8">
        <v>2580</v>
      </c>
      <c r="C21" s="8">
        <v>176768</v>
      </c>
      <c r="D21" s="8">
        <v>1587712052</v>
      </c>
      <c r="E21" s="8">
        <f>9057/3</f>
        <v>3019</v>
      </c>
      <c r="F21" s="8"/>
      <c r="G21" s="8" t="s">
        <v>19</v>
      </c>
      <c r="H21" s="8">
        <v>18</v>
      </c>
      <c r="I21" s="8">
        <v>1250</v>
      </c>
      <c r="J21" s="8">
        <v>24857413</v>
      </c>
      <c r="K21" s="8">
        <f>20392/3</f>
        <v>6797.333333333333</v>
      </c>
    </row>
    <row r="22" spans="1:11" x14ac:dyDescent="0.2">
      <c r="A22" s="8" t="s">
        <v>20</v>
      </c>
      <c r="B22" s="8">
        <v>1164</v>
      </c>
      <c r="C22" s="8">
        <v>170839</v>
      </c>
      <c r="D22" s="8">
        <v>1659915887</v>
      </c>
      <c r="E22" s="8">
        <f>9769/3</f>
        <v>3256.3333333333335</v>
      </c>
      <c r="F22" s="8"/>
      <c r="G22" s="8" t="s">
        <v>20</v>
      </c>
      <c r="H22" s="8">
        <v>11</v>
      </c>
      <c r="I22" s="8">
        <v>1574</v>
      </c>
      <c r="J22" s="8">
        <v>35278837</v>
      </c>
      <c r="K22" s="8">
        <f>22928/3</f>
        <v>7642.666666666667</v>
      </c>
    </row>
    <row r="23" spans="1:11" x14ac:dyDescent="0.2">
      <c r="A23" s="8" t="s">
        <v>21</v>
      </c>
      <c r="B23" s="8">
        <v>333</v>
      </c>
      <c r="C23" s="8">
        <v>116035</v>
      </c>
      <c r="D23" s="8">
        <v>1188913896</v>
      </c>
      <c r="E23" s="8">
        <f>10361/3</f>
        <v>3453.6666666666665</v>
      </c>
      <c r="F23" s="8"/>
      <c r="G23" s="8" t="s">
        <v>22</v>
      </c>
      <c r="H23" s="8">
        <v>9</v>
      </c>
      <c r="I23" s="8">
        <f>2518+817</f>
        <v>3335</v>
      </c>
      <c r="J23" s="8">
        <f>48859049+21590888</f>
        <v>70449937</v>
      </c>
      <c r="K23" s="8">
        <f>+J23/8799</f>
        <v>8006.584498238436</v>
      </c>
    </row>
    <row r="24" spans="1:11" x14ac:dyDescent="0.2">
      <c r="A24" s="8" t="s">
        <v>23</v>
      </c>
      <c r="B24" s="8">
        <v>106</v>
      </c>
      <c r="C24" s="8">
        <v>72110</v>
      </c>
      <c r="D24" s="8">
        <v>839191828</v>
      </c>
      <c r="E24" s="8">
        <f>11707/3</f>
        <v>3902.3333333333335</v>
      </c>
      <c r="F24" s="8"/>
      <c r="G24" s="8"/>
      <c r="H24" s="8"/>
      <c r="I24" s="8"/>
      <c r="J24" s="8" t="s">
        <v>28</v>
      </c>
      <c r="K24" s="8"/>
    </row>
    <row r="25" spans="1:11" x14ac:dyDescent="0.2">
      <c r="A25" s="8" t="s">
        <v>62</v>
      </c>
      <c r="B25" s="8">
        <v>58</v>
      </c>
      <c r="C25" s="8">
        <v>152586</v>
      </c>
      <c r="D25" s="8">
        <v>1607103828</v>
      </c>
      <c r="E25" s="8">
        <f>10581/3</f>
        <v>3527</v>
      </c>
      <c r="F25" s="8"/>
      <c r="G25" s="8"/>
      <c r="H25" s="8"/>
      <c r="I25" s="8"/>
      <c r="J25" s="8"/>
      <c r="K25" s="8"/>
    </row>
    <row r="26" spans="1:1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x14ac:dyDescent="0.2">
      <c r="A29" s="8"/>
      <c r="B29" s="8"/>
      <c r="C29" s="12" t="s">
        <v>25</v>
      </c>
      <c r="D29" s="8"/>
      <c r="E29" s="8"/>
      <c r="F29" s="8"/>
      <c r="G29" s="8"/>
      <c r="H29" s="8"/>
      <c r="I29" s="12" t="s">
        <v>26</v>
      </c>
      <c r="J29" s="8"/>
      <c r="K29" s="8"/>
    </row>
    <row r="30" spans="1:1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x14ac:dyDescent="0.2">
      <c r="A31" s="24"/>
      <c r="B31" s="24"/>
      <c r="C31" s="24"/>
      <c r="D31" s="24" t="s">
        <v>2</v>
      </c>
      <c r="E31" s="24" t="s">
        <v>3</v>
      </c>
      <c r="F31" s="24"/>
      <c r="G31" s="24"/>
      <c r="H31" s="24"/>
      <c r="I31" s="24"/>
      <c r="J31" s="24" t="s">
        <v>2</v>
      </c>
      <c r="K31" s="24" t="s">
        <v>3</v>
      </c>
    </row>
    <row r="32" spans="1:11" x14ac:dyDescent="0.2">
      <c r="A32" s="24" t="s">
        <v>4</v>
      </c>
      <c r="B32" s="24" t="s">
        <v>5</v>
      </c>
      <c r="C32" s="24" t="s">
        <v>6</v>
      </c>
      <c r="D32" s="24" t="s">
        <v>7</v>
      </c>
      <c r="E32" s="24" t="s">
        <v>8</v>
      </c>
      <c r="F32" s="24"/>
      <c r="G32" s="24" t="s">
        <v>4</v>
      </c>
      <c r="H32" s="24" t="s">
        <v>5</v>
      </c>
      <c r="I32" s="24" t="s">
        <v>6</v>
      </c>
      <c r="J32" s="24" t="s">
        <v>7</v>
      </c>
      <c r="K32" s="24" t="s">
        <v>8</v>
      </c>
    </row>
    <row r="33" spans="1:11" s="25" customFormat="1" ht="13.5" thickBot="1" x14ac:dyDescent="0.25">
      <c r="A33" s="14" t="s">
        <v>9</v>
      </c>
      <c r="B33" s="14" t="s">
        <v>10</v>
      </c>
      <c r="C33" s="14" t="s">
        <v>11</v>
      </c>
      <c r="D33" s="14" t="s">
        <v>12</v>
      </c>
      <c r="E33" s="14" t="s">
        <v>13</v>
      </c>
      <c r="F33" s="14"/>
      <c r="G33" s="14" t="s">
        <v>9</v>
      </c>
      <c r="H33" s="14" t="s">
        <v>10</v>
      </c>
      <c r="I33" s="14" t="s">
        <v>11</v>
      </c>
      <c r="J33" s="14" t="s">
        <v>12</v>
      </c>
      <c r="K33" s="14" t="s">
        <v>13</v>
      </c>
    </row>
    <row r="34" spans="1:11" ht="13.5" thickTop="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8" t="s">
        <v>27</v>
      </c>
      <c r="B36" s="8">
        <f>SUM(B38:B45)</f>
        <v>192</v>
      </c>
      <c r="C36" s="8">
        <f>SUM(C38:C45)</f>
        <v>4096</v>
      </c>
      <c r="D36" s="9">
        <f>SUM(D38:D45)</f>
        <v>80473458</v>
      </c>
      <c r="E36" s="9">
        <f>19877/3</f>
        <v>6625.666666666667</v>
      </c>
      <c r="F36" s="8"/>
      <c r="G36" s="8" t="s">
        <v>14</v>
      </c>
      <c r="H36" s="8">
        <f>SUM(H38:H45)</f>
        <v>10209</v>
      </c>
      <c r="I36" s="8">
        <f>SUM(I38:I45)</f>
        <v>60354</v>
      </c>
      <c r="J36" s="8">
        <f>SUM(J38:J45)</f>
        <v>583266683</v>
      </c>
      <c r="K36" s="18">
        <f>9713/3</f>
        <v>3237.6666666666665</v>
      </c>
    </row>
    <row r="37" spans="1:11" x14ac:dyDescent="0.2">
      <c r="A37" s="8" t="s">
        <v>28</v>
      </c>
      <c r="B37" s="8" t="s">
        <v>28</v>
      </c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A38" s="8" t="s">
        <v>15</v>
      </c>
      <c r="B38" s="8">
        <v>10</v>
      </c>
      <c r="C38" s="8">
        <v>0</v>
      </c>
      <c r="D38" s="8">
        <v>12071</v>
      </c>
      <c r="E38" s="8">
        <f>2786/3</f>
        <v>928.66666666666663</v>
      </c>
      <c r="F38" s="8"/>
      <c r="G38" s="8" t="s">
        <v>15</v>
      </c>
      <c r="H38" s="8">
        <v>2778</v>
      </c>
      <c r="I38" s="8">
        <v>0</v>
      </c>
      <c r="J38" s="8">
        <v>5099827</v>
      </c>
      <c r="K38" s="8">
        <f>7296/3</f>
        <v>2432</v>
      </c>
    </row>
    <row r="39" spans="1:11" x14ac:dyDescent="0.2">
      <c r="A39" s="8" t="s">
        <v>16</v>
      </c>
      <c r="B39" s="8">
        <v>87</v>
      </c>
      <c r="C39" s="8">
        <v>169</v>
      </c>
      <c r="D39" s="8">
        <v>1641551</v>
      </c>
      <c r="E39" s="8">
        <f>9830/3</f>
        <v>3276.6666666666665</v>
      </c>
      <c r="F39" s="8"/>
      <c r="G39" s="8" t="s">
        <v>16</v>
      </c>
      <c r="H39" s="8">
        <v>4737</v>
      </c>
      <c r="I39" s="8">
        <v>9482</v>
      </c>
      <c r="J39" s="8">
        <v>60494356</v>
      </c>
      <c r="K39" s="8">
        <f>6461/3</f>
        <v>2153.6666666666665</v>
      </c>
    </row>
    <row r="40" spans="1:11" x14ac:dyDescent="0.2">
      <c r="A40" s="8" t="s">
        <v>17</v>
      </c>
      <c r="B40" s="8">
        <v>31</v>
      </c>
      <c r="C40" s="8">
        <v>203</v>
      </c>
      <c r="D40" s="8">
        <v>2636013</v>
      </c>
      <c r="E40" s="8">
        <f>13611/3</f>
        <v>4537</v>
      </c>
      <c r="F40" s="8"/>
      <c r="G40" s="8" t="s">
        <v>17</v>
      </c>
      <c r="H40" s="8">
        <v>1329</v>
      </c>
      <c r="I40" s="8">
        <v>8658</v>
      </c>
      <c r="J40" s="8">
        <v>61378302</v>
      </c>
      <c r="K40" s="8">
        <f>7333/3</f>
        <v>2444.3333333333335</v>
      </c>
    </row>
    <row r="41" spans="1:11" x14ac:dyDescent="0.2">
      <c r="A41" s="19" t="s">
        <v>61</v>
      </c>
      <c r="B41" s="8">
        <v>22</v>
      </c>
      <c r="C41" s="8">
        <v>303</v>
      </c>
      <c r="D41" s="8">
        <v>5493428</v>
      </c>
      <c r="E41" s="8">
        <f>18332/3</f>
        <v>6110.666666666667</v>
      </c>
      <c r="F41" s="8"/>
      <c r="G41" s="19" t="s">
        <v>61</v>
      </c>
      <c r="H41" s="8">
        <v>757</v>
      </c>
      <c r="I41" s="8">
        <v>10054</v>
      </c>
      <c r="J41" s="8">
        <v>83840819</v>
      </c>
      <c r="K41" s="8">
        <f>8499/3</f>
        <v>2833</v>
      </c>
    </row>
    <row r="42" spans="1:11" x14ac:dyDescent="0.2">
      <c r="A42" s="8" t="s">
        <v>18</v>
      </c>
      <c r="B42" s="8">
        <v>25</v>
      </c>
      <c r="C42" s="8">
        <v>756</v>
      </c>
      <c r="D42" s="8">
        <v>15976191</v>
      </c>
      <c r="E42" s="8">
        <f>22355/3</f>
        <v>7451.666666666667</v>
      </c>
      <c r="F42" s="8"/>
      <c r="G42" s="8" t="s">
        <v>18</v>
      </c>
      <c r="H42" s="8">
        <v>434</v>
      </c>
      <c r="I42" s="8">
        <v>12885</v>
      </c>
      <c r="J42" s="8">
        <v>130251792</v>
      </c>
      <c r="K42" s="8">
        <f>10133/3</f>
        <v>3377.6666666666665</v>
      </c>
    </row>
    <row r="43" spans="1:11" x14ac:dyDescent="0.2">
      <c r="A43" s="8" t="s">
        <v>19</v>
      </c>
      <c r="B43" s="8">
        <v>7</v>
      </c>
      <c r="C43" s="8">
        <v>495</v>
      </c>
      <c r="D43" s="8">
        <v>9582215</v>
      </c>
      <c r="E43" s="8">
        <f>19384/3</f>
        <v>6461.333333333333</v>
      </c>
      <c r="F43" s="8"/>
      <c r="G43" s="8" t="s">
        <v>19</v>
      </c>
      <c r="H43" s="8">
        <v>117</v>
      </c>
      <c r="I43" s="8">
        <v>7770</v>
      </c>
      <c r="J43" s="8">
        <v>88943453</v>
      </c>
      <c r="K43" s="8">
        <f>11646/3</f>
        <v>3882</v>
      </c>
    </row>
    <row r="44" spans="1:11" x14ac:dyDescent="0.2">
      <c r="A44" s="8" t="s">
        <v>39</v>
      </c>
      <c r="B44" s="8">
        <v>10</v>
      </c>
      <c r="C44" s="8">
        <f>1258+912</f>
        <v>2170</v>
      </c>
      <c r="D44" s="8">
        <f>27172049+17959940</f>
        <v>45131989</v>
      </c>
      <c r="E44" s="8">
        <f>+D44/6615</f>
        <v>6822.6740740740743</v>
      </c>
      <c r="F44" s="8"/>
      <c r="G44" s="8" t="s">
        <v>20</v>
      </c>
      <c r="H44" s="8">
        <v>44</v>
      </c>
      <c r="I44" s="8">
        <v>6218</v>
      </c>
      <c r="J44" s="8">
        <v>78088236</v>
      </c>
      <c r="K44" s="8">
        <f>12670/3</f>
        <v>4223.333333333333</v>
      </c>
    </row>
    <row r="45" spans="1:11" x14ac:dyDescent="0.2">
      <c r="A45" s="8"/>
      <c r="B45" s="8"/>
      <c r="C45" s="8"/>
      <c r="D45" s="8"/>
      <c r="E45" s="8"/>
      <c r="F45" s="8"/>
      <c r="G45" s="8" t="s">
        <v>22</v>
      </c>
      <c r="H45" s="8">
        <v>13</v>
      </c>
      <c r="I45" s="8">
        <f>3903+1384</f>
        <v>5287</v>
      </c>
      <c r="J45" s="8">
        <f>59461513+15708385</f>
        <v>75169898</v>
      </c>
      <c r="K45" s="8">
        <f>+J45/14992</f>
        <v>5014.000667022412</v>
      </c>
    </row>
    <row r="46" spans="1:11" x14ac:dyDescent="0.2">
      <c r="A46" s="23"/>
      <c r="B46" s="23"/>
    </row>
    <row r="47" spans="1:11" x14ac:dyDescent="0.2">
      <c r="A47" s="20" t="s">
        <v>67</v>
      </c>
      <c r="B47" s="20"/>
      <c r="C47" s="20"/>
      <c r="D47" s="20"/>
      <c r="E47" s="20"/>
      <c r="F47" s="20"/>
      <c r="G47" s="20"/>
      <c r="H47" s="20"/>
      <c r="I47" s="20"/>
    </row>
    <row r="48" spans="1:11" x14ac:dyDescent="0.2">
      <c r="A48" s="26"/>
      <c r="B48" s="26"/>
      <c r="C48" s="26"/>
      <c r="D48" s="26"/>
      <c r="E48" s="26"/>
      <c r="F48" s="26"/>
      <c r="G48" s="26"/>
      <c r="H48" s="26"/>
      <c r="I48" s="26"/>
    </row>
    <row r="54" spans="1:11" x14ac:dyDescent="0.2">
      <c r="B54" s="12" t="s">
        <v>29</v>
      </c>
      <c r="I54" s="12" t="s">
        <v>30</v>
      </c>
    </row>
    <row r="55" spans="1:11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13"/>
      <c r="B56" s="13"/>
      <c r="C56" s="13"/>
      <c r="D56" s="13" t="s">
        <v>2</v>
      </c>
      <c r="E56" s="13" t="s">
        <v>3</v>
      </c>
      <c r="F56" s="13"/>
      <c r="G56" s="13"/>
      <c r="H56" s="13"/>
      <c r="I56" s="13"/>
      <c r="J56" s="13" t="s">
        <v>2</v>
      </c>
      <c r="K56" s="13" t="s">
        <v>3</v>
      </c>
    </row>
    <row r="57" spans="1:11" x14ac:dyDescent="0.2">
      <c r="A57" s="24" t="s">
        <v>4</v>
      </c>
      <c r="B57" s="24" t="s">
        <v>5</v>
      </c>
      <c r="C57" s="24" t="s">
        <v>6</v>
      </c>
      <c r="D57" s="24" t="s">
        <v>7</v>
      </c>
      <c r="E57" s="24" t="s">
        <v>8</v>
      </c>
      <c r="F57" s="24"/>
      <c r="G57" s="24" t="s">
        <v>4</v>
      </c>
      <c r="H57" s="24" t="s">
        <v>5</v>
      </c>
      <c r="I57" s="24" t="s">
        <v>6</v>
      </c>
      <c r="J57" s="24" t="s">
        <v>7</v>
      </c>
      <c r="K57" s="24" t="s">
        <v>8</v>
      </c>
    </row>
    <row r="58" spans="1:11" s="25" customFormat="1" ht="13.5" thickBot="1" x14ac:dyDescent="0.25">
      <c r="A58" s="14" t="s">
        <v>9</v>
      </c>
      <c r="B58" s="14" t="s">
        <v>10</v>
      </c>
      <c r="C58" s="14" t="s">
        <v>11</v>
      </c>
      <c r="D58" s="14" t="s">
        <v>12</v>
      </c>
      <c r="E58" s="14" t="s">
        <v>13</v>
      </c>
      <c r="F58" s="14"/>
      <c r="G58" s="14" t="s">
        <v>9</v>
      </c>
      <c r="H58" s="14" t="s">
        <v>10</v>
      </c>
      <c r="I58" s="14" t="s">
        <v>11</v>
      </c>
      <c r="J58" s="14" t="s">
        <v>12</v>
      </c>
      <c r="K58" s="14" t="s">
        <v>13</v>
      </c>
    </row>
    <row r="59" spans="1:11" ht="13.5" thickTop="1" x14ac:dyDescent="0.2"/>
    <row r="61" spans="1:11" x14ac:dyDescent="0.2">
      <c r="A61" t="s">
        <v>14</v>
      </c>
      <c r="B61">
        <f>SUM(B62:B72)</f>
        <v>3688</v>
      </c>
      <c r="C61">
        <f>SUM(C62:C72)</f>
        <v>109318</v>
      </c>
      <c r="D61" s="5">
        <f>SUM(D62:D72)</f>
        <v>1276373326</v>
      </c>
      <c r="E61" s="1">
        <f>11654/3</f>
        <v>3884.6666666666665</v>
      </c>
      <c r="G61" t="s">
        <v>27</v>
      </c>
      <c r="H61">
        <f>SUM(H62:H72)</f>
        <v>14503</v>
      </c>
      <c r="I61" s="8">
        <f>SUM(I62:I72)</f>
        <v>179310</v>
      </c>
      <c r="J61" s="5">
        <f>SUM(J62:J72)</f>
        <v>1426082589</v>
      </c>
      <c r="K61" s="5">
        <f>7954/3</f>
        <v>2651.3333333333335</v>
      </c>
    </row>
    <row r="62" spans="1:11" x14ac:dyDescent="0.2">
      <c r="G62" t="s">
        <v>28</v>
      </c>
    </row>
    <row r="63" spans="1:11" x14ac:dyDescent="0.2">
      <c r="A63" t="s">
        <v>15</v>
      </c>
      <c r="B63">
        <v>337</v>
      </c>
      <c r="C63">
        <v>0</v>
      </c>
      <c r="D63">
        <v>2475797</v>
      </c>
      <c r="E63">
        <f>10316/3</f>
        <v>3438.6666666666665</v>
      </c>
      <c r="G63" t="s">
        <v>15</v>
      </c>
      <c r="H63">
        <v>1353</v>
      </c>
      <c r="I63">
        <f>C85+I85</f>
        <v>0</v>
      </c>
      <c r="J63">
        <v>5314112</v>
      </c>
      <c r="K63">
        <f>8731/3</f>
        <v>2910.3333333333335</v>
      </c>
    </row>
    <row r="64" spans="1:11" x14ac:dyDescent="0.2">
      <c r="A64" t="s">
        <v>16</v>
      </c>
      <c r="B64">
        <v>1223</v>
      </c>
      <c r="C64">
        <v>2660</v>
      </c>
      <c r="D64">
        <v>21385282</v>
      </c>
      <c r="E64">
        <f>8095/3</f>
        <v>2698.3333333333335</v>
      </c>
      <c r="G64" t="s">
        <v>16</v>
      </c>
      <c r="H64">
        <v>6021</v>
      </c>
      <c r="I64">
        <v>12155</v>
      </c>
      <c r="J64">
        <v>131897647</v>
      </c>
      <c r="K64">
        <f>10913/3</f>
        <v>3637.6666666666665</v>
      </c>
    </row>
    <row r="65" spans="1:11" x14ac:dyDescent="0.2">
      <c r="A65" t="s">
        <v>17</v>
      </c>
      <c r="B65">
        <v>678</v>
      </c>
      <c r="C65">
        <v>4575</v>
      </c>
      <c r="D65">
        <v>34097490</v>
      </c>
      <c r="E65">
        <f>7522/3</f>
        <v>2507.3333333333335</v>
      </c>
      <c r="G65" t="s">
        <v>17</v>
      </c>
      <c r="H65">
        <v>3127</v>
      </c>
      <c r="I65">
        <v>20902</v>
      </c>
      <c r="J65">
        <v>151432028</v>
      </c>
      <c r="K65">
        <f>7271/3</f>
        <v>2423.6666666666665</v>
      </c>
    </row>
    <row r="66" spans="1:11" x14ac:dyDescent="0.2">
      <c r="A66" s="4" t="s">
        <v>61</v>
      </c>
      <c r="B66">
        <v>565</v>
      </c>
      <c r="C66">
        <v>7803</v>
      </c>
      <c r="D66">
        <v>61581293</v>
      </c>
      <c r="E66">
        <f>7910/3</f>
        <v>2636.6666666666665</v>
      </c>
      <c r="G66" s="4" t="s">
        <v>61</v>
      </c>
      <c r="H66">
        <v>2223</v>
      </c>
      <c r="I66">
        <v>29790</v>
      </c>
      <c r="J66">
        <v>222681151</v>
      </c>
      <c r="K66">
        <f>7518/3</f>
        <v>2506</v>
      </c>
    </row>
    <row r="67" spans="1:11" x14ac:dyDescent="0.2">
      <c r="A67" t="s">
        <v>18</v>
      </c>
      <c r="B67">
        <v>489</v>
      </c>
      <c r="C67">
        <v>15081</v>
      </c>
      <c r="D67">
        <v>141531687</v>
      </c>
      <c r="E67">
        <f>9390/3</f>
        <v>3130</v>
      </c>
      <c r="G67" t="s">
        <v>18</v>
      </c>
      <c r="H67">
        <v>1101</v>
      </c>
      <c r="I67">
        <v>32560</v>
      </c>
      <c r="J67">
        <v>258352200</v>
      </c>
      <c r="K67">
        <f>7980/3</f>
        <v>2660</v>
      </c>
    </row>
    <row r="68" spans="1:11" x14ac:dyDescent="0.2">
      <c r="A68" t="s">
        <v>19</v>
      </c>
      <c r="B68">
        <v>197</v>
      </c>
      <c r="C68">
        <v>13638</v>
      </c>
      <c r="D68">
        <v>149695711</v>
      </c>
      <c r="E68">
        <f>11116/3</f>
        <v>3705.3333333333335</v>
      </c>
      <c r="G68" t="s">
        <v>19</v>
      </c>
      <c r="H68">
        <v>382</v>
      </c>
      <c r="I68">
        <v>26889</v>
      </c>
      <c r="J68">
        <v>206648986</v>
      </c>
      <c r="K68">
        <f>7658/3</f>
        <v>2552.6666666666665</v>
      </c>
    </row>
    <row r="69" spans="1:11" x14ac:dyDescent="0.2">
      <c r="A69" t="s">
        <v>20</v>
      </c>
      <c r="B69">
        <v>120</v>
      </c>
      <c r="C69">
        <v>19122</v>
      </c>
      <c r="D69">
        <v>227599653</v>
      </c>
      <c r="E69">
        <f>11934/3</f>
        <v>3978</v>
      </c>
      <c r="G69" t="s">
        <v>20</v>
      </c>
      <c r="H69">
        <v>234</v>
      </c>
      <c r="I69">
        <v>33042</v>
      </c>
      <c r="J69">
        <v>243681190</v>
      </c>
      <c r="K69">
        <f>7367/3</f>
        <v>2455.6666666666665</v>
      </c>
    </row>
    <row r="70" spans="1:11" x14ac:dyDescent="0.2">
      <c r="A70" t="s">
        <v>21</v>
      </c>
      <c r="B70">
        <v>52</v>
      </c>
      <c r="C70">
        <v>18259</v>
      </c>
      <c r="D70">
        <v>241862086</v>
      </c>
      <c r="E70">
        <f>13279/3</f>
        <v>4426.333333333333</v>
      </c>
      <c r="G70" t="s">
        <v>21</v>
      </c>
      <c r="H70">
        <v>57</v>
      </c>
      <c r="I70">
        <v>19673</v>
      </c>
      <c r="J70">
        <v>149998998</v>
      </c>
      <c r="K70">
        <f>7733/3</f>
        <v>2577.6666666666665</v>
      </c>
    </row>
    <row r="71" spans="1:11" x14ac:dyDescent="0.2">
      <c r="A71" t="s">
        <v>23</v>
      </c>
      <c r="B71">
        <v>16</v>
      </c>
      <c r="C71">
        <v>10619</v>
      </c>
      <c r="D71">
        <v>147033714</v>
      </c>
      <c r="E71">
        <f>13828/3</f>
        <v>4609.333333333333</v>
      </c>
      <c r="G71" t="s">
        <v>31</v>
      </c>
      <c r="H71">
        <v>5</v>
      </c>
      <c r="I71">
        <f>3033+1266</f>
        <v>4299</v>
      </c>
      <c r="J71">
        <f>36931055+19145222</f>
        <v>56076277</v>
      </c>
      <c r="K71">
        <f>+J71/14992</f>
        <v>3740.4133537886873</v>
      </c>
    </row>
    <row r="72" spans="1:11" x14ac:dyDescent="0.2">
      <c r="A72" t="s">
        <v>24</v>
      </c>
      <c r="B72">
        <v>11</v>
      </c>
      <c r="C72">
        <v>17561</v>
      </c>
      <c r="D72">
        <v>249110613</v>
      </c>
      <c r="E72">
        <f>13945/3</f>
        <v>4648.333333333333</v>
      </c>
      <c r="G72" t="s">
        <v>32</v>
      </c>
    </row>
    <row r="76" spans="1:11" x14ac:dyDescent="0.2">
      <c r="B76" s="12" t="s">
        <v>33</v>
      </c>
      <c r="I76" s="12" t="s">
        <v>34</v>
      </c>
    </row>
    <row r="78" spans="1:11" x14ac:dyDescent="0.2">
      <c r="A78" s="24"/>
      <c r="B78" s="24"/>
      <c r="C78" s="24"/>
      <c r="D78" s="24" t="s">
        <v>2</v>
      </c>
      <c r="E78" s="24" t="s">
        <v>3</v>
      </c>
      <c r="F78" s="24"/>
      <c r="G78" s="24"/>
      <c r="H78" s="24"/>
      <c r="I78" s="24"/>
      <c r="J78" s="24" t="s">
        <v>2</v>
      </c>
      <c r="K78" s="24" t="s">
        <v>3</v>
      </c>
    </row>
    <row r="79" spans="1:11" x14ac:dyDescent="0.2">
      <c r="A79" s="24" t="s">
        <v>4</v>
      </c>
      <c r="B79" s="24" t="s">
        <v>5</v>
      </c>
      <c r="C79" s="24" t="s">
        <v>6</v>
      </c>
      <c r="D79" s="24" t="s">
        <v>7</v>
      </c>
      <c r="E79" s="24" t="s">
        <v>8</v>
      </c>
      <c r="F79" s="24"/>
      <c r="G79" s="24" t="s">
        <v>4</v>
      </c>
      <c r="H79" s="24" t="s">
        <v>5</v>
      </c>
      <c r="I79" s="24" t="s">
        <v>6</v>
      </c>
      <c r="J79" s="24" t="s">
        <v>7</v>
      </c>
      <c r="K79" s="24" t="s">
        <v>8</v>
      </c>
    </row>
    <row r="80" spans="1:11" s="25" customFormat="1" ht="13.5" thickBot="1" x14ac:dyDescent="0.25">
      <c r="A80" s="14" t="s">
        <v>9</v>
      </c>
      <c r="B80" s="14" t="s">
        <v>10</v>
      </c>
      <c r="C80" s="14" t="s">
        <v>11</v>
      </c>
      <c r="D80" s="14" t="s">
        <v>12</v>
      </c>
      <c r="E80" s="14" t="s">
        <v>13</v>
      </c>
      <c r="F80" s="14"/>
      <c r="G80" s="14" t="s">
        <v>9</v>
      </c>
      <c r="H80" s="14" t="s">
        <v>10</v>
      </c>
      <c r="I80" s="14" t="s">
        <v>11</v>
      </c>
      <c r="J80" s="14" t="s">
        <v>12</v>
      </c>
      <c r="K80" s="14" t="s">
        <v>13</v>
      </c>
    </row>
    <row r="81" spans="1:11" ht="13.5" thickTop="1" x14ac:dyDescent="0.2"/>
    <row r="83" spans="1:11" x14ac:dyDescent="0.2">
      <c r="A83" t="s">
        <v>27</v>
      </c>
      <c r="B83">
        <f>SUM(B85:B93)</f>
        <v>5716</v>
      </c>
      <c r="C83">
        <f>SUM(C85:C93)</f>
        <v>43607</v>
      </c>
      <c r="D83" s="5">
        <f>SUM(D85:D92)</f>
        <v>583400137</v>
      </c>
      <c r="E83" s="1">
        <f>13404/3</f>
        <v>4468</v>
      </c>
      <c r="G83" t="s">
        <v>27</v>
      </c>
      <c r="H83">
        <f>SUM(H85:H93)</f>
        <v>8787</v>
      </c>
      <c r="I83">
        <f>SUM(I85:I93)</f>
        <v>135703</v>
      </c>
      <c r="J83" s="5">
        <f>SUM(J85:J93)</f>
        <v>842682452</v>
      </c>
      <c r="K83" s="5">
        <f>6206/3</f>
        <v>2068.6666666666665</v>
      </c>
    </row>
    <row r="84" spans="1:11" x14ac:dyDescent="0.2">
      <c r="A84" t="s">
        <v>28</v>
      </c>
      <c r="G84" t="s">
        <v>28</v>
      </c>
    </row>
    <row r="85" spans="1:11" x14ac:dyDescent="0.2">
      <c r="A85" t="s">
        <v>15</v>
      </c>
      <c r="B85">
        <v>681</v>
      </c>
      <c r="C85">
        <v>0</v>
      </c>
      <c r="D85">
        <v>2405278</v>
      </c>
      <c r="E85">
        <f>18890/3</f>
        <v>6296.666666666667</v>
      </c>
      <c r="G85" t="s">
        <v>15</v>
      </c>
      <c r="H85">
        <v>672</v>
      </c>
      <c r="I85">
        <v>0</v>
      </c>
      <c r="J85">
        <v>2908834</v>
      </c>
      <c r="K85">
        <f>6043/3</f>
        <v>2014.3333333333333</v>
      </c>
    </row>
    <row r="86" spans="1:11" x14ac:dyDescent="0.2">
      <c r="A86" t="s">
        <v>16</v>
      </c>
      <c r="B86">
        <v>3208</v>
      </c>
      <c r="C86">
        <v>5604</v>
      </c>
      <c r="D86">
        <v>93037805</v>
      </c>
      <c r="E86">
        <f>16786/3</f>
        <v>5595.333333333333</v>
      </c>
      <c r="G86" t="s">
        <v>16</v>
      </c>
      <c r="H86">
        <v>2813</v>
      </c>
      <c r="I86">
        <v>6551</v>
      </c>
      <c r="J86">
        <v>38859842</v>
      </c>
      <c r="K86">
        <f>5939/3</f>
        <v>1979.6666666666667</v>
      </c>
    </row>
    <row r="87" spans="1:11" x14ac:dyDescent="0.2">
      <c r="A87" t="s">
        <v>17</v>
      </c>
      <c r="B87">
        <v>819</v>
      </c>
      <c r="C87">
        <v>5485</v>
      </c>
      <c r="D87">
        <v>70898229</v>
      </c>
      <c r="E87">
        <f>12922/3</f>
        <v>4307.333333333333</v>
      </c>
      <c r="G87" t="s">
        <v>17</v>
      </c>
      <c r="H87">
        <v>2308</v>
      </c>
      <c r="I87">
        <v>15417</v>
      </c>
      <c r="J87">
        <v>80533799</v>
      </c>
      <c r="K87">
        <f>5249/3</f>
        <v>1749.6666666666667</v>
      </c>
    </row>
    <row r="88" spans="1:11" x14ac:dyDescent="0.2">
      <c r="A88" s="4" t="s">
        <v>61</v>
      </c>
      <c r="B88">
        <v>533</v>
      </c>
      <c r="C88">
        <v>7182</v>
      </c>
      <c r="D88">
        <v>102639556</v>
      </c>
      <c r="E88">
        <f>14374/3</f>
        <v>4791.333333333333</v>
      </c>
      <c r="G88" s="4" t="s">
        <v>61</v>
      </c>
      <c r="H88">
        <v>1690</v>
      </c>
      <c r="I88">
        <v>22608</v>
      </c>
      <c r="J88">
        <v>120041595</v>
      </c>
      <c r="K88">
        <f>5340/3</f>
        <v>1780</v>
      </c>
    </row>
    <row r="89" spans="1:11" x14ac:dyDescent="0.2">
      <c r="A89" t="s">
        <v>18</v>
      </c>
      <c r="B89">
        <v>346</v>
      </c>
      <c r="C89">
        <v>10374</v>
      </c>
      <c r="D89">
        <v>129942660</v>
      </c>
      <c r="E89">
        <f>12548/3</f>
        <v>4182.666666666667</v>
      </c>
      <c r="G89" t="s">
        <v>18</v>
      </c>
      <c r="H89">
        <v>755</v>
      </c>
      <c r="I89">
        <v>22186</v>
      </c>
      <c r="J89">
        <v>128409540</v>
      </c>
      <c r="K89">
        <f>5832/3</f>
        <v>1944</v>
      </c>
    </row>
    <row r="90" spans="1:11" x14ac:dyDescent="0.2">
      <c r="A90" t="s">
        <v>19</v>
      </c>
      <c r="B90">
        <v>83</v>
      </c>
      <c r="C90">
        <v>5530</v>
      </c>
      <c r="D90">
        <v>67945025</v>
      </c>
      <c r="E90">
        <f>12228/3</f>
        <v>4076</v>
      </c>
      <c r="G90" t="s">
        <v>19</v>
      </c>
      <c r="H90">
        <v>299</v>
      </c>
      <c r="I90">
        <v>21359</v>
      </c>
      <c r="J90">
        <v>138703961</v>
      </c>
      <c r="K90">
        <f>6473/3</f>
        <v>2157.6666666666665</v>
      </c>
    </row>
    <row r="91" spans="1:11" x14ac:dyDescent="0.2">
      <c r="A91" t="s">
        <v>20</v>
      </c>
      <c r="B91">
        <v>36</v>
      </c>
      <c r="C91">
        <v>5337</v>
      </c>
      <c r="D91">
        <v>66431208</v>
      </c>
      <c r="E91">
        <f>12503/3</f>
        <v>4167.666666666667</v>
      </c>
      <c r="G91" t="s">
        <v>20</v>
      </c>
      <c r="H91">
        <v>198</v>
      </c>
      <c r="I91">
        <v>27705</v>
      </c>
      <c r="J91">
        <v>177249982</v>
      </c>
      <c r="K91">
        <f>6385/3</f>
        <v>2128.3333333333335</v>
      </c>
    </row>
    <row r="92" spans="1:11" x14ac:dyDescent="0.2">
      <c r="A92" s="25" t="s">
        <v>22</v>
      </c>
      <c r="B92" s="25">
        <v>10</v>
      </c>
      <c r="C92">
        <f>3204+891</f>
        <v>4095</v>
      </c>
      <c r="D92">
        <f>42763260+7337116</f>
        <v>50100376</v>
      </c>
      <c r="E92" s="8">
        <f>+D92/14700</f>
        <v>3408.1888435374149</v>
      </c>
      <c r="G92" t="s">
        <v>21</v>
      </c>
      <c r="H92">
        <v>48</v>
      </c>
      <c r="I92">
        <v>16469</v>
      </c>
      <c r="J92">
        <v>107235738</v>
      </c>
      <c r="K92">
        <f>6583/3</f>
        <v>2194.3333333333335</v>
      </c>
    </row>
    <row r="93" spans="1:11" x14ac:dyDescent="0.2">
      <c r="A93" s="25"/>
      <c r="B93" s="25"/>
      <c r="G93" t="s">
        <v>31</v>
      </c>
      <c r="H93">
        <v>4</v>
      </c>
      <c r="I93">
        <f>2142+1266</f>
        <v>3408</v>
      </c>
      <c r="J93">
        <f>29593939+19145222</f>
        <v>48739161</v>
      </c>
      <c r="K93">
        <f>+J93/14700</f>
        <v>3315.5891836734695</v>
      </c>
    </row>
    <row r="94" spans="1:11" x14ac:dyDescent="0.2">
      <c r="A94" s="23"/>
      <c r="B94" s="23"/>
    </row>
    <row r="95" spans="1:11" x14ac:dyDescent="0.2">
      <c r="A95" s="20" t="s">
        <v>67</v>
      </c>
      <c r="B95" s="20"/>
      <c r="C95" s="20"/>
      <c r="D95" s="20"/>
      <c r="E95" s="20"/>
      <c r="F95" s="20"/>
      <c r="G95" s="20"/>
      <c r="H95" s="20"/>
      <c r="I95" s="20"/>
    </row>
    <row r="96" spans="1:11" x14ac:dyDescent="0.2">
      <c r="A96" s="26"/>
      <c r="B96" s="26"/>
      <c r="C96" s="26"/>
      <c r="D96" s="26"/>
      <c r="E96" s="26"/>
      <c r="F96" s="26"/>
      <c r="G96" s="26"/>
      <c r="H96" s="26"/>
      <c r="I96" s="26"/>
    </row>
    <row r="98" spans="1:11" x14ac:dyDescent="0.2">
      <c r="D98" s="17"/>
      <c r="E98" s="17"/>
      <c r="F98" s="17"/>
      <c r="G98" s="17"/>
      <c r="H98" s="17"/>
    </row>
    <row r="102" spans="1:11" x14ac:dyDescent="0.2">
      <c r="A102" s="12" t="s">
        <v>35</v>
      </c>
      <c r="G102" s="12" t="s">
        <v>36</v>
      </c>
      <c r="H102" s="12"/>
    </row>
    <row r="104" spans="1:11" x14ac:dyDescent="0.2">
      <c r="A104" s="13"/>
      <c r="B104" s="13"/>
      <c r="C104" s="13"/>
      <c r="D104" s="13" t="s">
        <v>2</v>
      </c>
      <c r="E104" s="13" t="s">
        <v>3</v>
      </c>
      <c r="F104" s="13"/>
      <c r="G104" s="13"/>
      <c r="H104" s="13"/>
      <c r="I104" s="13"/>
      <c r="J104" s="13" t="s">
        <v>2</v>
      </c>
      <c r="K104" s="13" t="s">
        <v>3</v>
      </c>
    </row>
    <row r="105" spans="1:11" x14ac:dyDescent="0.2">
      <c r="A105" s="24" t="s">
        <v>4</v>
      </c>
      <c r="B105" s="24" t="s">
        <v>5</v>
      </c>
      <c r="C105" s="24" t="s">
        <v>6</v>
      </c>
      <c r="D105" s="24" t="s">
        <v>7</v>
      </c>
      <c r="E105" s="24" t="s">
        <v>8</v>
      </c>
      <c r="F105" s="24"/>
      <c r="G105" s="24" t="s">
        <v>4</v>
      </c>
      <c r="H105" s="24" t="s">
        <v>5</v>
      </c>
      <c r="I105" s="24" t="s">
        <v>6</v>
      </c>
      <c r="J105" s="24" t="s">
        <v>7</v>
      </c>
      <c r="K105" s="24" t="s">
        <v>8</v>
      </c>
    </row>
    <row r="106" spans="1:11" s="25" customFormat="1" ht="13.5" thickBot="1" x14ac:dyDescent="0.25">
      <c r="A106" s="14" t="s">
        <v>9</v>
      </c>
      <c r="B106" s="14" t="s">
        <v>10</v>
      </c>
      <c r="C106" s="14" t="s">
        <v>11</v>
      </c>
      <c r="D106" s="14" t="s">
        <v>12</v>
      </c>
      <c r="E106" s="14" t="s">
        <v>13</v>
      </c>
      <c r="F106" s="14"/>
      <c r="G106" s="14" t="s">
        <v>9</v>
      </c>
      <c r="H106" s="14" t="s">
        <v>10</v>
      </c>
      <c r="I106" s="14" t="s">
        <v>11</v>
      </c>
      <c r="J106" s="14" t="s">
        <v>12</v>
      </c>
      <c r="K106" s="14" t="s">
        <v>13</v>
      </c>
    </row>
    <row r="107" spans="1:11" ht="13.5" thickTop="1" x14ac:dyDescent="0.2"/>
    <row r="109" spans="1:11" x14ac:dyDescent="0.2">
      <c r="A109" t="s">
        <v>27</v>
      </c>
      <c r="B109">
        <f>SUM(B111:B120)</f>
        <v>2196</v>
      </c>
      <c r="C109">
        <f>SUM(C111:C120)</f>
        <v>42465</v>
      </c>
      <c r="D109" s="5">
        <f>SUM(D111:D120)</f>
        <v>417962420</v>
      </c>
      <c r="E109" s="1">
        <f>9860/3</f>
        <v>3286.6666666666665</v>
      </c>
      <c r="G109" t="s">
        <v>27</v>
      </c>
      <c r="H109">
        <f>SUM(H111:H120)</f>
        <v>1645</v>
      </c>
      <c r="I109">
        <f>SUM(I111:I120)</f>
        <v>29280</v>
      </c>
      <c r="J109" s="5">
        <f>SUM(J111:J120)</f>
        <v>357169159</v>
      </c>
      <c r="K109" s="5">
        <f>12342/3</f>
        <v>4114</v>
      </c>
    </row>
    <row r="110" spans="1:11" x14ac:dyDescent="0.2">
      <c r="A110" t="s">
        <v>28</v>
      </c>
      <c r="G110" t="s">
        <v>28</v>
      </c>
    </row>
    <row r="111" spans="1:11" x14ac:dyDescent="0.2">
      <c r="A111" t="s">
        <v>15</v>
      </c>
      <c r="B111">
        <v>321</v>
      </c>
      <c r="C111">
        <v>0</v>
      </c>
      <c r="D111">
        <v>441477</v>
      </c>
      <c r="E111">
        <f>6898/3</f>
        <v>2299.3333333333335</v>
      </c>
      <c r="G111" t="s">
        <v>15</v>
      </c>
      <c r="H111">
        <v>238</v>
      </c>
      <c r="I111">
        <v>0</v>
      </c>
      <c r="J111">
        <v>4571958</v>
      </c>
      <c r="K111">
        <f>19210/3</f>
        <v>6403.333333333333</v>
      </c>
    </row>
    <row r="112" spans="1:11" x14ac:dyDescent="0.2">
      <c r="A112" t="s">
        <v>16</v>
      </c>
      <c r="B112">
        <v>1063</v>
      </c>
      <c r="C112">
        <v>1989</v>
      </c>
      <c r="D112">
        <v>14939327</v>
      </c>
      <c r="E112">
        <f>7582/3</f>
        <v>2527.3333333333335</v>
      </c>
      <c r="G112" t="s">
        <v>16</v>
      </c>
      <c r="H112">
        <v>747</v>
      </c>
      <c r="I112">
        <v>1296</v>
      </c>
      <c r="J112">
        <v>17462418</v>
      </c>
      <c r="K112">
        <f>13632/3</f>
        <v>4544</v>
      </c>
    </row>
    <row r="113" spans="1:11" x14ac:dyDescent="0.2">
      <c r="A113" t="s">
        <v>17</v>
      </c>
      <c r="B113">
        <v>269</v>
      </c>
      <c r="C113">
        <v>1764</v>
      </c>
      <c r="D113">
        <v>15319287</v>
      </c>
      <c r="E113">
        <f>8806/3</f>
        <v>2935.3333333333335</v>
      </c>
      <c r="G113" t="s">
        <v>17</v>
      </c>
      <c r="H113">
        <v>216</v>
      </c>
      <c r="I113">
        <v>1435</v>
      </c>
      <c r="J113">
        <v>16545738</v>
      </c>
      <c r="K113">
        <f>11718/3</f>
        <v>3906</v>
      </c>
    </row>
    <row r="114" spans="1:11" x14ac:dyDescent="0.2">
      <c r="A114" s="4" t="s">
        <v>61</v>
      </c>
      <c r="B114">
        <v>227</v>
      </c>
      <c r="C114">
        <v>2992</v>
      </c>
      <c r="D114">
        <v>26198313</v>
      </c>
      <c r="E114">
        <f>8827/3</f>
        <v>2942.3333333333335</v>
      </c>
      <c r="G114" s="4" t="s">
        <v>61</v>
      </c>
      <c r="H114">
        <v>170</v>
      </c>
      <c r="I114">
        <v>2344</v>
      </c>
      <c r="J114">
        <v>27631111</v>
      </c>
      <c r="K114">
        <f>11903/3</f>
        <v>3967.6666666666665</v>
      </c>
    </row>
    <row r="115" spans="1:11" x14ac:dyDescent="0.2">
      <c r="A115" t="s">
        <v>18</v>
      </c>
      <c r="B115">
        <v>170</v>
      </c>
      <c r="C115">
        <v>5087</v>
      </c>
      <c r="D115">
        <v>47307600</v>
      </c>
      <c r="E115">
        <f>9248/3</f>
        <v>3082.6666666666665</v>
      </c>
      <c r="G115" t="s">
        <v>18</v>
      </c>
      <c r="H115">
        <v>157</v>
      </c>
      <c r="I115">
        <v>4815</v>
      </c>
      <c r="J115">
        <v>62784018</v>
      </c>
      <c r="K115">
        <f>13136/3</f>
        <v>4378.666666666667</v>
      </c>
    </row>
    <row r="116" spans="1:11" x14ac:dyDescent="0.2">
      <c r="A116" t="s">
        <v>19</v>
      </c>
      <c r="B116">
        <v>80</v>
      </c>
      <c r="C116">
        <v>5739</v>
      </c>
      <c r="D116">
        <v>51606987</v>
      </c>
      <c r="E116">
        <f>9073/3</f>
        <v>3024.3333333333335</v>
      </c>
      <c r="G116" t="s">
        <v>19</v>
      </c>
      <c r="H116">
        <v>61</v>
      </c>
      <c r="I116">
        <v>4361</v>
      </c>
      <c r="J116">
        <v>50553134</v>
      </c>
      <c r="K116">
        <f>11807/3</f>
        <v>3935.6666666666665</v>
      </c>
    </row>
    <row r="117" spans="1:11" x14ac:dyDescent="0.2">
      <c r="A117" t="s">
        <v>20</v>
      </c>
      <c r="B117">
        <v>41</v>
      </c>
      <c r="C117">
        <v>6398</v>
      </c>
      <c r="D117">
        <v>60217712</v>
      </c>
      <c r="E117">
        <f>9437/3</f>
        <v>3145.6666666666665</v>
      </c>
      <c r="G117" t="s">
        <v>20</v>
      </c>
      <c r="H117">
        <v>38</v>
      </c>
      <c r="I117">
        <v>5900</v>
      </c>
      <c r="J117">
        <v>60550683</v>
      </c>
      <c r="K117">
        <f>10546/3</f>
        <v>3515.3333333333335</v>
      </c>
    </row>
    <row r="118" spans="1:11" x14ac:dyDescent="0.2">
      <c r="A118" t="s">
        <v>21</v>
      </c>
      <c r="B118">
        <v>13</v>
      </c>
      <c r="C118">
        <v>4345</v>
      </c>
      <c r="D118">
        <v>43236708</v>
      </c>
      <c r="E118">
        <f>9912/3</f>
        <v>3304</v>
      </c>
      <c r="G118" t="s">
        <v>21</v>
      </c>
      <c r="H118">
        <v>10</v>
      </c>
      <c r="I118">
        <v>3367</v>
      </c>
      <c r="J118">
        <v>25665744</v>
      </c>
      <c r="K118">
        <f>8162/3</f>
        <v>2720.6666666666665</v>
      </c>
    </row>
    <row r="119" spans="1:11" x14ac:dyDescent="0.2">
      <c r="A119" t="s">
        <v>23</v>
      </c>
      <c r="B119">
        <v>7</v>
      </c>
      <c r="C119">
        <v>4839</v>
      </c>
      <c r="D119">
        <v>54966875</v>
      </c>
      <c r="E119">
        <f>11436/3</f>
        <v>3812</v>
      </c>
      <c r="G119" t="s">
        <v>31</v>
      </c>
      <c r="H119">
        <v>8</v>
      </c>
      <c r="I119">
        <f>4760+1002</f>
        <v>5762</v>
      </c>
      <c r="J119">
        <f>84727234+6677121</f>
        <v>91404355</v>
      </c>
      <c r="K119" s="8">
        <f>+J119/15778</f>
        <v>5793.152173913043</v>
      </c>
    </row>
    <row r="120" spans="1:11" x14ac:dyDescent="0.2">
      <c r="A120" t="s">
        <v>24</v>
      </c>
      <c r="B120">
        <v>5</v>
      </c>
      <c r="C120">
        <v>9312</v>
      </c>
      <c r="D120">
        <v>103728134</v>
      </c>
      <c r="E120">
        <f>11159/3</f>
        <v>3719.6666666666665</v>
      </c>
    </row>
    <row r="123" spans="1:11" x14ac:dyDescent="0.2">
      <c r="B123" s="12"/>
    </row>
    <row r="124" spans="1:11" x14ac:dyDescent="0.2">
      <c r="B124" s="12" t="s">
        <v>37</v>
      </c>
      <c r="H124" s="12" t="s">
        <v>38</v>
      </c>
    </row>
    <row r="126" spans="1:11" x14ac:dyDescent="0.2">
      <c r="A126" s="13"/>
      <c r="B126" s="13"/>
      <c r="C126" s="13"/>
      <c r="D126" s="13" t="s">
        <v>2</v>
      </c>
      <c r="E126" s="13" t="s">
        <v>3</v>
      </c>
      <c r="F126" s="13"/>
      <c r="G126" s="13"/>
      <c r="H126" s="13"/>
      <c r="I126" s="13"/>
      <c r="J126" s="13" t="s">
        <v>2</v>
      </c>
      <c r="K126" s="13" t="s">
        <v>3</v>
      </c>
    </row>
    <row r="127" spans="1:11" x14ac:dyDescent="0.2">
      <c r="A127" s="13" t="s">
        <v>4</v>
      </c>
      <c r="B127" s="13" t="s">
        <v>5</v>
      </c>
      <c r="C127" s="13" t="s">
        <v>6</v>
      </c>
      <c r="D127" s="13" t="s">
        <v>7</v>
      </c>
      <c r="E127" s="13" t="s">
        <v>8</v>
      </c>
      <c r="F127" s="13"/>
      <c r="G127" s="13" t="s">
        <v>4</v>
      </c>
      <c r="H127" s="13" t="s">
        <v>5</v>
      </c>
      <c r="I127" s="13" t="s">
        <v>6</v>
      </c>
      <c r="J127" s="13" t="s">
        <v>7</v>
      </c>
      <c r="K127" s="13" t="s">
        <v>8</v>
      </c>
    </row>
    <row r="128" spans="1:11" s="25" customFormat="1" ht="13.5" thickBot="1" x14ac:dyDescent="0.25">
      <c r="A128" s="14" t="s">
        <v>9</v>
      </c>
      <c r="B128" s="14" t="s">
        <v>10</v>
      </c>
      <c r="C128" s="14" t="s">
        <v>11</v>
      </c>
      <c r="D128" s="14" t="s">
        <v>12</v>
      </c>
      <c r="E128" s="14" t="s">
        <v>13</v>
      </c>
      <c r="F128" s="14"/>
      <c r="G128" s="14" t="s">
        <v>9</v>
      </c>
      <c r="H128" s="14" t="s">
        <v>10</v>
      </c>
      <c r="I128" s="14" t="s">
        <v>11</v>
      </c>
      <c r="J128" s="14" t="s">
        <v>12</v>
      </c>
      <c r="K128" s="14" t="s">
        <v>13</v>
      </c>
    </row>
    <row r="129" spans="1:11" ht="13.5" thickTop="1" x14ac:dyDescent="0.2"/>
    <row r="131" spans="1:11" x14ac:dyDescent="0.2">
      <c r="A131" t="s">
        <v>27</v>
      </c>
      <c r="B131">
        <f>SUM(B133:B142)</f>
        <v>5264</v>
      </c>
      <c r="C131">
        <f>SUM(C133:C142)</f>
        <v>52909</v>
      </c>
      <c r="D131" s="5">
        <f>SUM(D133:D142)</f>
        <v>720518632</v>
      </c>
      <c r="E131" s="5">
        <f>13863/3</f>
        <v>4621</v>
      </c>
      <c r="G131" t="s">
        <v>27</v>
      </c>
      <c r="H131">
        <f>SUM(H133:H139)</f>
        <v>4390</v>
      </c>
      <c r="I131">
        <f>SUM(I133:I139)</f>
        <v>16231</v>
      </c>
      <c r="J131" s="5">
        <f>SUM(J133:J139)</f>
        <v>137015630</v>
      </c>
      <c r="K131" s="5">
        <f>8466/3</f>
        <v>2822</v>
      </c>
    </row>
    <row r="132" spans="1:11" x14ac:dyDescent="0.2">
      <c r="A132" t="s">
        <v>28</v>
      </c>
      <c r="G132" t="s">
        <v>28</v>
      </c>
    </row>
    <row r="133" spans="1:11" x14ac:dyDescent="0.2">
      <c r="A133" t="s">
        <v>15</v>
      </c>
      <c r="B133">
        <v>634</v>
      </c>
      <c r="C133">
        <v>0</v>
      </c>
      <c r="D133">
        <v>4044142</v>
      </c>
      <c r="E133">
        <f>16507/3</f>
        <v>5502.333333333333</v>
      </c>
      <c r="G133" t="s">
        <v>15</v>
      </c>
      <c r="H133">
        <v>1056</v>
      </c>
      <c r="I133">
        <v>0</v>
      </c>
      <c r="J133">
        <v>3301203</v>
      </c>
      <c r="K133">
        <f>17498/3</f>
        <v>5832.666666666667</v>
      </c>
    </row>
    <row r="134" spans="1:11" x14ac:dyDescent="0.2">
      <c r="A134" t="s">
        <v>16</v>
      </c>
      <c r="B134">
        <v>2767</v>
      </c>
      <c r="C134">
        <v>6342</v>
      </c>
      <c r="D134">
        <v>60831906</v>
      </c>
      <c r="E134">
        <f>11459/3</f>
        <v>3819.6666666666665</v>
      </c>
      <c r="G134" t="s">
        <v>16</v>
      </c>
      <c r="H134">
        <v>2521</v>
      </c>
      <c r="I134">
        <v>4313</v>
      </c>
      <c r="J134">
        <v>30702476</v>
      </c>
      <c r="K134">
        <f>7229/3</f>
        <v>2409.6666666666665</v>
      </c>
    </row>
    <row r="135" spans="1:11" x14ac:dyDescent="0.2">
      <c r="A135" t="s">
        <v>17</v>
      </c>
      <c r="B135">
        <v>950</v>
      </c>
      <c r="C135">
        <v>6299</v>
      </c>
      <c r="D135">
        <v>62371406</v>
      </c>
      <c r="E135">
        <f>9989/3</f>
        <v>3329.6666666666665</v>
      </c>
      <c r="G135" t="s">
        <v>17</v>
      </c>
      <c r="H135">
        <v>466</v>
      </c>
      <c r="I135">
        <v>3054</v>
      </c>
      <c r="J135">
        <v>26409717</v>
      </c>
      <c r="K135">
        <f>8739/3</f>
        <v>2913</v>
      </c>
    </row>
    <row r="136" spans="1:11" x14ac:dyDescent="0.2">
      <c r="A136" s="4" t="s">
        <v>61</v>
      </c>
      <c r="B136">
        <v>548</v>
      </c>
      <c r="C136">
        <v>7198</v>
      </c>
      <c r="D136">
        <v>82728700</v>
      </c>
      <c r="E136">
        <f>11579/3</f>
        <v>3859.6666666666665</v>
      </c>
      <c r="G136" s="4" t="s">
        <v>61</v>
      </c>
      <c r="H136">
        <v>227</v>
      </c>
      <c r="I136">
        <v>2972</v>
      </c>
      <c r="J136">
        <v>25202661</v>
      </c>
      <c r="K136">
        <f>8560/3</f>
        <v>2853.3333333333335</v>
      </c>
    </row>
    <row r="137" spans="1:11" x14ac:dyDescent="0.2">
      <c r="A137" t="s">
        <v>18</v>
      </c>
      <c r="B137">
        <v>230</v>
      </c>
      <c r="C137">
        <v>6851</v>
      </c>
      <c r="D137">
        <v>108250854</v>
      </c>
      <c r="E137">
        <f>15913/3</f>
        <v>5304.333333333333</v>
      </c>
      <c r="G137" t="s">
        <v>18</v>
      </c>
      <c r="H137">
        <v>81</v>
      </c>
      <c r="I137">
        <v>2409</v>
      </c>
      <c r="J137">
        <v>22082340</v>
      </c>
      <c r="K137">
        <f>9402/3</f>
        <v>3134</v>
      </c>
    </row>
    <row r="138" spans="1:11" x14ac:dyDescent="0.2">
      <c r="A138" t="s">
        <v>19</v>
      </c>
      <c r="B138">
        <v>78</v>
      </c>
      <c r="C138">
        <v>5416</v>
      </c>
      <c r="D138">
        <v>104800952</v>
      </c>
      <c r="E138">
        <f>19574/3</f>
        <v>6524.666666666667</v>
      </c>
      <c r="G138" t="s">
        <v>19</v>
      </c>
      <c r="H138">
        <v>32</v>
      </c>
      <c r="I138">
        <v>2149</v>
      </c>
      <c r="J138">
        <v>18632519</v>
      </c>
      <c r="K138">
        <f>8860/3</f>
        <v>2953.3333333333335</v>
      </c>
    </row>
    <row r="139" spans="1:11" x14ac:dyDescent="0.2">
      <c r="A139" t="s">
        <v>20</v>
      </c>
      <c r="B139">
        <v>35</v>
      </c>
      <c r="C139">
        <v>5154</v>
      </c>
      <c r="D139">
        <v>66402897</v>
      </c>
      <c r="E139">
        <f>12686/3</f>
        <v>4228.666666666667</v>
      </c>
      <c r="G139" t="s">
        <v>39</v>
      </c>
      <c r="H139">
        <v>7</v>
      </c>
      <c r="I139">
        <f>860+474</f>
        <v>1334</v>
      </c>
      <c r="J139">
        <f>7320986+3363728</f>
        <v>10684714</v>
      </c>
      <c r="K139" s="8">
        <f>+J139/4816</f>
        <v>2218.5867940199337</v>
      </c>
    </row>
    <row r="140" spans="1:11" x14ac:dyDescent="0.2">
      <c r="A140" t="s">
        <v>21</v>
      </c>
      <c r="B140">
        <v>9</v>
      </c>
      <c r="C140">
        <v>3072</v>
      </c>
      <c r="D140">
        <v>46791851</v>
      </c>
      <c r="E140">
        <f>15250/3</f>
        <v>5083.333333333333</v>
      </c>
    </row>
    <row r="141" spans="1:11" x14ac:dyDescent="0.2">
      <c r="A141" t="s">
        <v>23</v>
      </c>
      <c r="B141">
        <v>10</v>
      </c>
      <c r="C141">
        <v>7465</v>
      </c>
      <c r="D141">
        <v>134812031</v>
      </c>
      <c r="E141">
        <f>18296/3</f>
        <v>6098.666666666667</v>
      </c>
    </row>
    <row r="142" spans="1:11" x14ac:dyDescent="0.2">
      <c r="A142" t="s">
        <v>24</v>
      </c>
      <c r="B142">
        <v>3</v>
      </c>
      <c r="C142">
        <v>5112</v>
      </c>
      <c r="D142">
        <v>49483893</v>
      </c>
      <c r="E142">
        <f>9510/3</f>
        <v>3170</v>
      </c>
    </row>
    <row r="143" spans="1:11" x14ac:dyDescent="0.2">
      <c r="A143" s="23"/>
      <c r="B143" s="23"/>
    </row>
    <row r="144" spans="1:11" x14ac:dyDescent="0.2">
      <c r="A144" s="20" t="s">
        <v>67</v>
      </c>
      <c r="B144" s="20"/>
      <c r="C144" s="20"/>
      <c r="D144" s="20"/>
      <c r="E144" s="20"/>
      <c r="F144" s="20"/>
      <c r="G144" s="20"/>
      <c r="H144" s="20"/>
      <c r="I144" s="20"/>
    </row>
    <row r="145" spans="1:11" x14ac:dyDescent="0.2">
      <c r="A145" s="26"/>
      <c r="B145" s="26"/>
      <c r="C145" s="26"/>
      <c r="D145" s="26"/>
      <c r="E145" s="26"/>
      <c r="F145" s="26"/>
      <c r="G145" s="26"/>
      <c r="H145" s="26"/>
      <c r="I145" s="26"/>
    </row>
    <row r="148" spans="1:11" x14ac:dyDescent="0.2">
      <c r="D148" s="17"/>
      <c r="E148" s="17"/>
      <c r="F148" s="17"/>
      <c r="G148" s="17"/>
      <c r="H148" s="17"/>
    </row>
    <row r="151" spans="1:11" x14ac:dyDescent="0.2">
      <c r="B151" s="12" t="s">
        <v>40</v>
      </c>
      <c r="H151" s="12" t="s">
        <v>41</v>
      </c>
    </row>
    <row r="153" spans="1:11" x14ac:dyDescent="0.2">
      <c r="A153" s="13"/>
      <c r="B153" s="13"/>
      <c r="C153" s="13"/>
      <c r="D153" s="13" t="s">
        <v>2</v>
      </c>
      <c r="E153" s="13" t="s">
        <v>3</v>
      </c>
      <c r="F153" s="13"/>
      <c r="G153" s="13"/>
      <c r="H153" s="13"/>
      <c r="I153" s="13"/>
      <c r="J153" s="13" t="s">
        <v>2</v>
      </c>
      <c r="K153" s="13" t="s">
        <v>3</v>
      </c>
    </row>
    <row r="154" spans="1:11" x14ac:dyDescent="0.2">
      <c r="A154" s="24" t="s">
        <v>4</v>
      </c>
      <c r="B154" s="24" t="s">
        <v>5</v>
      </c>
      <c r="C154" s="24" t="s">
        <v>6</v>
      </c>
      <c r="D154" s="24" t="s">
        <v>7</v>
      </c>
      <c r="E154" s="24" t="s">
        <v>8</v>
      </c>
      <c r="F154" s="24"/>
      <c r="G154" s="24" t="s">
        <v>4</v>
      </c>
      <c r="H154" s="24" t="s">
        <v>5</v>
      </c>
      <c r="I154" s="24" t="s">
        <v>6</v>
      </c>
      <c r="J154" s="24" t="s">
        <v>7</v>
      </c>
      <c r="K154" s="24" t="s">
        <v>8</v>
      </c>
    </row>
    <row r="155" spans="1:11" s="25" customFormat="1" ht="13.5" thickBot="1" x14ac:dyDescent="0.25">
      <c r="A155" s="14" t="s">
        <v>9</v>
      </c>
      <c r="B155" s="14" t="s">
        <v>10</v>
      </c>
      <c r="C155" s="14" t="s">
        <v>11</v>
      </c>
      <c r="D155" s="14" t="s">
        <v>12</v>
      </c>
      <c r="E155" s="14" t="s">
        <v>13</v>
      </c>
      <c r="F155" s="14"/>
      <c r="G155" s="14" t="s">
        <v>9</v>
      </c>
      <c r="H155" s="14" t="s">
        <v>10</v>
      </c>
      <c r="I155" s="14" t="s">
        <v>11</v>
      </c>
      <c r="J155" s="14" t="s">
        <v>12</v>
      </c>
      <c r="K155" s="14" t="s">
        <v>13</v>
      </c>
    </row>
    <row r="156" spans="1:11" ht="13.5" thickTop="1" x14ac:dyDescent="0.2"/>
    <row r="158" spans="1:11" x14ac:dyDescent="0.2">
      <c r="A158" t="s">
        <v>27</v>
      </c>
      <c r="B158">
        <f>SUM(B160:B168)</f>
        <v>10443</v>
      </c>
      <c r="C158">
        <f>SUM(C160:C168)</f>
        <v>64955</v>
      </c>
      <c r="D158">
        <f>SUM(D160:D168)</f>
        <v>915949158</v>
      </c>
      <c r="E158" s="5">
        <f>14228/3</f>
        <v>4742.666666666667</v>
      </c>
      <c r="G158" t="s">
        <v>27</v>
      </c>
      <c r="H158">
        <f>SUM(H160:H170)</f>
        <v>490</v>
      </c>
      <c r="I158">
        <f>SUM(I160:I170)</f>
        <v>18619</v>
      </c>
      <c r="J158" s="5">
        <f>SUM(J160:J170)</f>
        <v>339795527</v>
      </c>
      <c r="K158" s="5">
        <f>18242/3</f>
        <v>6080.666666666667</v>
      </c>
    </row>
    <row r="159" spans="1:11" x14ac:dyDescent="0.2">
      <c r="A159" t="s">
        <v>28</v>
      </c>
      <c r="G159" t="s">
        <v>28</v>
      </c>
    </row>
    <row r="160" spans="1:11" x14ac:dyDescent="0.2">
      <c r="A160" t="s">
        <v>15</v>
      </c>
      <c r="B160">
        <v>2000</v>
      </c>
      <c r="C160">
        <v>0</v>
      </c>
      <c r="D160">
        <v>13080707</v>
      </c>
      <c r="E160">
        <f>25548/3</f>
        <v>8516</v>
      </c>
      <c r="G160" t="s">
        <v>15</v>
      </c>
      <c r="H160">
        <v>67</v>
      </c>
      <c r="I160">
        <v>0</v>
      </c>
      <c r="J160">
        <v>649213</v>
      </c>
      <c r="K160">
        <f>11066/3</f>
        <v>3688.6666666666665</v>
      </c>
    </row>
    <row r="161" spans="1:11" x14ac:dyDescent="0.2">
      <c r="A161" t="s">
        <v>16</v>
      </c>
      <c r="B161">
        <v>5981</v>
      </c>
      <c r="C161">
        <v>10110</v>
      </c>
      <c r="D161">
        <v>123945696</v>
      </c>
      <c r="E161">
        <f>12518/3</f>
        <v>4172.666666666667</v>
      </c>
      <c r="G161" t="s">
        <v>16</v>
      </c>
      <c r="H161">
        <v>155</v>
      </c>
      <c r="I161">
        <v>279</v>
      </c>
      <c r="J161">
        <v>6320116</v>
      </c>
      <c r="K161">
        <f>22680/3</f>
        <v>7560</v>
      </c>
    </row>
    <row r="162" spans="1:11" x14ac:dyDescent="0.2">
      <c r="A162" t="s">
        <v>17</v>
      </c>
      <c r="B162">
        <v>1106</v>
      </c>
      <c r="C162">
        <v>7276</v>
      </c>
      <c r="D162">
        <v>77942383</v>
      </c>
      <c r="E162">
        <f>10831/3</f>
        <v>3610.3333333333335</v>
      </c>
      <c r="G162" t="s">
        <v>17</v>
      </c>
      <c r="H162">
        <v>65</v>
      </c>
      <c r="I162">
        <v>429</v>
      </c>
      <c r="J162">
        <v>7323033</v>
      </c>
      <c r="K162">
        <f>16964/3</f>
        <v>5654.666666666667</v>
      </c>
    </row>
    <row r="163" spans="1:11" x14ac:dyDescent="0.2">
      <c r="A163" s="4" t="s">
        <v>61</v>
      </c>
      <c r="B163">
        <v>666</v>
      </c>
      <c r="C163">
        <v>8975</v>
      </c>
      <c r="D163">
        <v>110195469</v>
      </c>
      <c r="E163">
        <f>12364/3</f>
        <v>4121.333333333333</v>
      </c>
      <c r="G163" s="4" t="s">
        <v>61</v>
      </c>
      <c r="H163">
        <v>50</v>
      </c>
      <c r="I163">
        <v>710</v>
      </c>
      <c r="J163">
        <v>11269370</v>
      </c>
      <c r="K163">
        <f>16038/3</f>
        <v>5346</v>
      </c>
    </row>
    <row r="164" spans="1:11" x14ac:dyDescent="0.2">
      <c r="A164" t="s">
        <v>18</v>
      </c>
      <c r="B164">
        <v>466</v>
      </c>
      <c r="C164">
        <v>13816</v>
      </c>
      <c r="D164">
        <v>188870532</v>
      </c>
      <c r="E164">
        <f>13825/3</f>
        <v>4608.333333333333</v>
      </c>
      <c r="G164" t="s">
        <v>18</v>
      </c>
      <c r="H164">
        <v>76</v>
      </c>
      <c r="I164">
        <v>2401</v>
      </c>
      <c r="J164">
        <v>47785475</v>
      </c>
      <c r="K164">
        <f>19825/3</f>
        <v>6608.333333333333</v>
      </c>
    </row>
    <row r="165" spans="1:11" x14ac:dyDescent="0.2">
      <c r="A165" t="s">
        <v>19</v>
      </c>
      <c r="B165">
        <v>131</v>
      </c>
      <c r="C165">
        <v>8934</v>
      </c>
      <c r="D165">
        <v>133346487</v>
      </c>
      <c r="E165">
        <f>15299/3</f>
        <v>5099.666666666667</v>
      </c>
      <c r="G165" t="s">
        <v>19</v>
      </c>
      <c r="H165">
        <v>37</v>
      </c>
      <c r="I165">
        <v>2582</v>
      </c>
      <c r="J165">
        <v>58175879</v>
      </c>
      <c r="K165">
        <f>22778/3</f>
        <v>7592.666666666667</v>
      </c>
    </row>
    <row r="166" spans="1:11" x14ac:dyDescent="0.2">
      <c r="A166" t="s">
        <v>20</v>
      </c>
      <c r="B166">
        <v>81</v>
      </c>
      <c r="C166">
        <v>11661</v>
      </c>
      <c r="D166">
        <v>193580493</v>
      </c>
      <c r="E166">
        <f>17082/3</f>
        <v>5694</v>
      </c>
      <c r="G166" t="s">
        <v>20</v>
      </c>
      <c r="H166">
        <v>25</v>
      </c>
      <c r="I166">
        <v>3908</v>
      </c>
      <c r="J166">
        <v>71058107</v>
      </c>
      <c r="K166">
        <f>18133/3</f>
        <v>6044.333333333333</v>
      </c>
    </row>
    <row r="167" spans="1:11" x14ac:dyDescent="0.2">
      <c r="A167" t="s">
        <v>22</v>
      </c>
      <c r="B167">
        <v>12</v>
      </c>
      <c r="C167">
        <f>3550+633</f>
        <v>4183</v>
      </c>
      <c r="D167">
        <f>67620609+7366782</f>
        <v>74987391</v>
      </c>
      <c r="E167" s="8">
        <f>+D167/12486</f>
        <v>6005.7176838058622</v>
      </c>
      <c r="G167" t="s">
        <v>21</v>
      </c>
      <c r="H167">
        <v>11</v>
      </c>
      <c r="I167">
        <v>4200</v>
      </c>
      <c r="J167">
        <v>81985304</v>
      </c>
      <c r="K167">
        <f>19768/3</f>
        <v>6589.333333333333</v>
      </c>
    </row>
    <row r="168" spans="1:11" x14ac:dyDescent="0.2">
      <c r="A168" t="s">
        <v>28</v>
      </c>
      <c r="B168" t="s">
        <v>28</v>
      </c>
      <c r="C168" t="s">
        <v>28</v>
      </c>
      <c r="D168" t="s">
        <v>28</v>
      </c>
      <c r="E168" t="s">
        <v>28</v>
      </c>
      <c r="G168" t="s">
        <v>31</v>
      </c>
      <c r="H168">
        <v>4</v>
      </c>
      <c r="I168">
        <f>1143+2967</f>
        <v>4110</v>
      </c>
      <c r="J168">
        <f>28045113+27183917</f>
        <v>55229030</v>
      </c>
      <c r="K168" s="8">
        <f>+J168/13574</f>
        <v>4068.7365551790185</v>
      </c>
    </row>
    <row r="169" spans="1:11" x14ac:dyDescent="0.2">
      <c r="K169" s="8"/>
    </row>
    <row r="172" spans="1:11" x14ac:dyDescent="0.2">
      <c r="A172" s="12" t="s">
        <v>42</v>
      </c>
      <c r="H172" s="12" t="s">
        <v>66</v>
      </c>
    </row>
    <row r="174" spans="1:11" x14ac:dyDescent="0.2">
      <c r="A174" s="24"/>
      <c r="B174" s="24"/>
      <c r="C174" s="24"/>
      <c r="D174" s="24" t="s">
        <v>2</v>
      </c>
      <c r="E174" s="24" t="s">
        <v>3</v>
      </c>
      <c r="F174" s="24"/>
      <c r="G174" s="24"/>
      <c r="H174" s="24"/>
      <c r="I174" s="24"/>
      <c r="J174" s="24" t="s">
        <v>2</v>
      </c>
      <c r="K174" s="24" t="s">
        <v>3</v>
      </c>
    </row>
    <row r="175" spans="1:11" x14ac:dyDescent="0.2">
      <c r="A175" s="24" t="s">
        <v>4</v>
      </c>
      <c r="B175" s="24" t="s">
        <v>5</v>
      </c>
      <c r="C175" s="24" t="s">
        <v>6</v>
      </c>
      <c r="D175" s="24" t="s">
        <v>7</v>
      </c>
      <c r="E175" s="24" t="s">
        <v>8</v>
      </c>
      <c r="F175" s="24"/>
      <c r="G175" s="24" t="s">
        <v>4</v>
      </c>
      <c r="H175" s="24" t="s">
        <v>5</v>
      </c>
      <c r="I175" s="24" t="s">
        <v>6</v>
      </c>
      <c r="J175" s="24" t="s">
        <v>7</v>
      </c>
      <c r="K175" s="24" t="s">
        <v>8</v>
      </c>
    </row>
    <row r="176" spans="1:11" s="25" customFormat="1" ht="13.5" thickBot="1" x14ac:dyDescent="0.25">
      <c r="A176" s="14" t="s">
        <v>9</v>
      </c>
      <c r="B176" s="14" t="s">
        <v>10</v>
      </c>
      <c r="C176" s="14" t="s">
        <v>11</v>
      </c>
      <c r="D176" s="14" t="s">
        <v>12</v>
      </c>
      <c r="E176" s="14" t="s">
        <v>13</v>
      </c>
      <c r="F176" s="14"/>
      <c r="G176" s="14" t="s">
        <v>9</v>
      </c>
      <c r="H176" s="14" t="s">
        <v>10</v>
      </c>
      <c r="I176" s="14" t="s">
        <v>11</v>
      </c>
      <c r="J176" s="14" t="s">
        <v>12</v>
      </c>
      <c r="K176" s="14" t="s">
        <v>13</v>
      </c>
    </row>
    <row r="177" spans="1:11" ht="13.5" thickTop="1" x14ac:dyDescent="0.2"/>
    <row r="179" spans="1:11" x14ac:dyDescent="0.2">
      <c r="A179" t="s">
        <v>27</v>
      </c>
      <c r="B179">
        <f>SUM(B181:B190)</f>
        <v>4791</v>
      </c>
      <c r="C179">
        <f>SUM(C181:C190)</f>
        <v>64276</v>
      </c>
      <c r="D179" s="5">
        <f>SUM(D181:D190)</f>
        <v>415840750</v>
      </c>
      <c r="E179" s="5">
        <f>6635/3</f>
        <v>2211.6666666666665</v>
      </c>
      <c r="G179" t="s">
        <v>27</v>
      </c>
      <c r="H179">
        <f>SUM(H181:H189)</f>
        <v>1101.1410000000001</v>
      </c>
      <c r="I179">
        <f>SUM(I181:I189)</f>
        <v>36334</v>
      </c>
      <c r="J179" s="5">
        <f>SUM(J181:J189)</f>
        <v>231322906</v>
      </c>
      <c r="K179" s="5">
        <f>6425/3</f>
        <v>2141.6666666666665</v>
      </c>
    </row>
    <row r="180" spans="1:11" x14ac:dyDescent="0.2">
      <c r="A180" t="s">
        <v>28</v>
      </c>
      <c r="G180" t="s">
        <v>28</v>
      </c>
    </row>
    <row r="181" spans="1:11" x14ac:dyDescent="0.2">
      <c r="A181" t="s">
        <v>15</v>
      </c>
      <c r="B181">
        <v>1125</v>
      </c>
      <c r="C181">
        <v>0</v>
      </c>
      <c r="D181">
        <v>1987228</v>
      </c>
      <c r="E181">
        <f>5721/3</f>
        <v>1907</v>
      </c>
      <c r="G181" t="s">
        <v>15</v>
      </c>
      <c r="H181">
        <v>172.14099999999999</v>
      </c>
      <c r="I181">
        <v>0</v>
      </c>
      <c r="J181">
        <v>802236</v>
      </c>
      <c r="K181">
        <f>7271/3</f>
        <v>2423.6666666666665</v>
      </c>
    </row>
    <row r="182" spans="1:11" x14ac:dyDescent="0.2">
      <c r="A182" t="s">
        <v>16</v>
      </c>
      <c r="B182">
        <v>2159</v>
      </c>
      <c r="C182">
        <v>4023</v>
      </c>
      <c r="D182">
        <v>31656774</v>
      </c>
      <c r="E182">
        <f>8119/3</f>
        <v>2706.3333333333335</v>
      </c>
      <c r="G182" t="s">
        <v>16</v>
      </c>
      <c r="H182">
        <v>403</v>
      </c>
      <c r="I182">
        <v>760</v>
      </c>
      <c r="J182">
        <v>5040715</v>
      </c>
      <c r="K182">
        <f>6629/3</f>
        <v>2209.6666666666665</v>
      </c>
    </row>
    <row r="183" spans="1:11" x14ac:dyDescent="0.2">
      <c r="A183" t="s">
        <v>17</v>
      </c>
      <c r="B183">
        <v>614</v>
      </c>
      <c r="C183">
        <v>4039</v>
      </c>
      <c r="D183">
        <v>28743190</v>
      </c>
      <c r="E183">
        <f>7338/3</f>
        <v>2446</v>
      </c>
      <c r="G183" t="s">
        <v>17</v>
      </c>
      <c r="H183">
        <v>153</v>
      </c>
      <c r="I183">
        <v>1008</v>
      </c>
      <c r="J183">
        <v>4948571</v>
      </c>
      <c r="K183">
        <f>4932/3</f>
        <v>1644</v>
      </c>
    </row>
    <row r="184" spans="1:11" x14ac:dyDescent="0.2">
      <c r="A184" s="4" t="s">
        <v>61</v>
      </c>
      <c r="B184">
        <v>380</v>
      </c>
      <c r="C184">
        <v>5117</v>
      </c>
      <c r="D184">
        <v>34153921</v>
      </c>
      <c r="E184">
        <f>6862/3</f>
        <v>2287.3333333333335</v>
      </c>
      <c r="G184" s="4" t="s">
        <v>61</v>
      </c>
      <c r="H184">
        <v>156</v>
      </c>
      <c r="I184">
        <v>2080</v>
      </c>
      <c r="J184">
        <v>11656243</v>
      </c>
      <c r="K184">
        <f>5761/3</f>
        <v>1920.3333333333333</v>
      </c>
    </row>
    <row r="185" spans="1:11" x14ac:dyDescent="0.2">
      <c r="A185" t="s">
        <v>18</v>
      </c>
      <c r="B185">
        <v>270</v>
      </c>
      <c r="C185">
        <v>8080</v>
      </c>
      <c r="D185">
        <v>54746578</v>
      </c>
      <c r="E185">
        <f>6884/3</f>
        <v>2294.6666666666665</v>
      </c>
      <c r="G185" t="s">
        <v>18</v>
      </c>
      <c r="H185">
        <v>125</v>
      </c>
      <c r="I185">
        <v>4078</v>
      </c>
      <c r="J185">
        <v>26790087</v>
      </c>
      <c r="K185">
        <f>6691/3</f>
        <v>2230.3333333333335</v>
      </c>
    </row>
    <row r="186" spans="1:11" x14ac:dyDescent="0.2">
      <c r="A186" t="s">
        <v>19</v>
      </c>
      <c r="B186">
        <v>110</v>
      </c>
      <c r="C186">
        <v>7535</v>
      </c>
      <c r="D186">
        <v>49501258</v>
      </c>
      <c r="E186">
        <f>6710/3</f>
        <v>2236.6666666666665</v>
      </c>
      <c r="G186" t="s">
        <v>19</v>
      </c>
      <c r="H186">
        <v>60</v>
      </c>
      <c r="I186">
        <v>4189</v>
      </c>
      <c r="J186">
        <v>25875465</v>
      </c>
      <c r="K186">
        <f>6413/3</f>
        <v>2137.6666666666665</v>
      </c>
    </row>
    <row r="187" spans="1:11" x14ac:dyDescent="0.2">
      <c r="A187" t="s">
        <v>20</v>
      </c>
      <c r="B187">
        <v>84</v>
      </c>
      <c r="C187">
        <v>12747</v>
      </c>
      <c r="D187">
        <v>77270230</v>
      </c>
      <c r="E187">
        <f>6193/3</f>
        <v>2064.3333333333335</v>
      </c>
      <c r="G187" t="s">
        <v>20</v>
      </c>
      <c r="H187">
        <v>23</v>
      </c>
      <c r="I187">
        <v>3176</v>
      </c>
      <c r="J187">
        <v>27492489</v>
      </c>
      <c r="K187">
        <f>8774/3</f>
        <v>2924.6666666666665</v>
      </c>
    </row>
    <row r="188" spans="1:11" x14ac:dyDescent="0.2">
      <c r="A188" t="s">
        <v>21</v>
      </c>
      <c r="B188">
        <v>39</v>
      </c>
      <c r="C188">
        <v>13152</v>
      </c>
      <c r="D188">
        <v>69187353</v>
      </c>
      <c r="E188">
        <f>5346/3</f>
        <v>1782</v>
      </c>
      <c r="G188" t="s">
        <v>65</v>
      </c>
      <c r="H188">
        <v>5</v>
      </c>
      <c r="I188">
        <v>1855</v>
      </c>
      <c r="J188">
        <v>15541199</v>
      </c>
      <c r="K188">
        <f>8602/3</f>
        <v>2867.3333333333335</v>
      </c>
    </row>
    <row r="189" spans="1:11" x14ac:dyDescent="0.2">
      <c r="A189" t="s">
        <v>23</v>
      </c>
      <c r="B189">
        <v>7</v>
      </c>
      <c r="C189">
        <v>5188</v>
      </c>
      <c r="D189">
        <v>41155005</v>
      </c>
      <c r="E189">
        <f>8046/3</f>
        <v>2682</v>
      </c>
      <c r="G189" t="s">
        <v>64</v>
      </c>
      <c r="H189">
        <v>4</v>
      </c>
      <c r="I189">
        <f>1132+18056</f>
        <v>19188</v>
      </c>
      <c r="J189">
        <f>10702344+102473557</f>
        <v>113175901</v>
      </c>
      <c r="K189" s="8">
        <f>+J189/55142</f>
        <v>2052.4446157194152</v>
      </c>
    </row>
    <row r="190" spans="1:11" x14ac:dyDescent="0.2">
      <c r="A190" t="s">
        <v>24</v>
      </c>
      <c r="B190">
        <v>3</v>
      </c>
      <c r="C190">
        <v>4395</v>
      </c>
      <c r="D190">
        <v>27439213</v>
      </c>
      <c r="E190">
        <f>7483/3</f>
        <v>2494.3333333333335</v>
      </c>
    </row>
    <row r="191" spans="1:11" x14ac:dyDescent="0.2">
      <c r="A191" s="23"/>
      <c r="B191" s="23"/>
    </row>
    <row r="192" spans="1:11" x14ac:dyDescent="0.2">
      <c r="A192" s="20" t="s">
        <v>67</v>
      </c>
      <c r="B192" s="20"/>
      <c r="C192" s="20"/>
      <c r="D192" s="20"/>
      <c r="E192" s="20"/>
      <c r="F192" s="20"/>
      <c r="G192" s="20"/>
      <c r="H192" s="20"/>
      <c r="I192" s="20"/>
    </row>
    <row r="193" spans="1:15" x14ac:dyDescent="0.2">
      <c r="A193" s="26"/>
      <c r="B193" s="26"/>
      <c r="C193" s="26"/>
      <c r="D193" s="26"/>
      <c r="E193" s="26"/>
      <c r="F193" s="26"/>
      <c r="G193" s="26"/>
      <c r="H193" s="26"/>
      <c r="I193" s="26"/>
    </row>
    <row r="197" spans="1:15" x14ac:dyDescent="0.2">
      <c r="D197" s="17"/>
      <c r="E197" s="17"/>
      <c r="F197" s="17"/>
      <c r="G197" s="17"/>
      <c r="H197" s="17"/>
    </row>
    <row r="199" spans="1:15" x14ac:dyDescent="0.2">
      <c r="B199" s="12" t="s">
        <v>43</v>
      </c>
      <c r="H199" s="12" t="s">
        <v>44</v>
      </c>
    </row>
    <row r="201" spans="1:15" x14ac:dyDescent="0.2">
      <c r="A201" s="24"/>
      <c r="B201" s="24"/>
      <c r="C201" s="24"/>
      <c r="D201" s="24" t="s">
        <v>2</v>
      </c>
      <c r="E201" s="24" t="s">
        <v>3</v>
      </c>
      <c r="F201" s="24"/>
      <c r="G201" s="24"/>
      <c r="H201" s="24"/>
      <c r="I201" s="24"/>
      <c r="J201" s="24" t="s">
        <v>2</v>
      </c>
      <c r="K201" s="24" t="s">
        <v>3</v>
      </c>
    </row>
    <row r="202" spans="1:15" x14ac:dyDescent="0.2">
      <c r="A202" s="24" t="s">
        <v>4</v>
      </c>
      <c r="B202" s="24" t="s">
        <v>5</v>
      </c>
      <c r="C202" s="24" t="s">
        <v>6</v>
      </c>
      <c r="D202" s="24" t="s">
        <v>7</v>
      </c>
      <c r="E202" s="24" t="s">
        <v>8</v>
      </c>
      <c r="F202" s="24"/>
      <c r="G202" s="24" t="s">
        <v>4</v>
      </c>
      <c r="H202" s="24" t="s">
        <v>5</v>
      </c>
      <c r="I202" s="24" t="s">
        <v>6</v>
      </c>
      <c r="J202" s="24" t="s">
        <v>7</v>
      </c>
      <c r="K202" s="24" t="s">
        <v>8</v>
      </c>
    </row>
    <row r="203" spans="1:15" s="25" customFormat="1" ht="13.5" thickBot="1" x14ac:dyDescent="0.25">
      <c r="A203" s="14" t="s">
        <v>9</v>
      </c>
      <c r="B203" s="14" t="s">
        <v>10</v>
      </c>
      <c r="C203" s="14" t="s">
        <v>11</v>
      </c>
      <c r="D203" s="14" t="s">
        <v>12</v>
      </c>
      <c r="E203" s="14" t="s">
        <v>13</v>
      </c>
      <c r="F203" s="14"/>
      <c r="G203" s="14" t="s">
        <v>9</v>
      </c>
      <c r="H203" s="14" t="s">
        <v>10</v>
      </c>
      <c r="I203" s="14" t="s">
        <v>11</v>
      </c>
      <c r="J203" s="14" t="s">
        <v>12</v>
      </c>
      <c r="K203" s="14" t="s">
        <v>13</v>
      </c>
    </row>
    <row r="204" spans="1:15" ht="13.5" thickTop="1" x14ac:dyDescent="0.2"/>
    <row r="205" spans="1:15" x14ac:dyDescent="0.2">
      <c r="O205">
        <f>7721+7809+7837+5240+5265+5221</f>
        <v>39093</v>
      </c>
    </row>
    <row r="206" spans="1:15" x14ac:dyDescent="0.2">
      <c r="A206" t="s">
        <v>27</v>
      </c>
      <c r="B206">
        <f>SUM(B208:B217)</f>
        <v>6674</v>
      </c>
      <c r="C206">
        <f>SUM(C208:C217)</f>
        <v>119715</v>
      </c>
      <c r="D206" s="5">
        <f>SUM(D208:D217)</f>
        <v>1030305305</v>
      </c>
      <c r="E206" s="5">
        <f>8638/3</f>
        <v>2879.3333333333335</v>
      </c>
      <c r="G206" t="s">
        <v>27</v>
      </c>
      <c r="H206">
        <f>SUM(H208:H217)</f>
        <v>944</v>
      </c>
      <c r="I206">
        <f>SUM(I208:I217)</f>
        <v>17500</v>
      </c>
      <c r="J206">
        <f>SUM(J208:J217)</f>
        <v>105499583</v>
      </c>
      <c r="K206" s="5">
        <f>6062/3</f>
        <v>2020.6666666666667</v>
      </c>
    </row>
    <row r="207" spans="1:15" x14ac:dyDescent="0.2">
      <c r="A207" t="s">
        <v>28</v>
      </c>
      <c r="G207" t="s">
        <v>28</v>
      </c>
    </row>
    <row r="208" spans="1:15" x14ac:dyDescent="0.2">
      <c r="A208" t="s">
        <v>15</v>
      </c>
      <c r="B208">
        <v>414</v>
      </c>
      <c r="C208">
        <v>0</v>
      </c>
      <c r="D208">
        <v>2743668</v>
      </c>
      <c r="E208">
        <f>9538/3</f>
        <v>3179.3333333333335</v>
      </c>
      <c r="G208" t="s">
        <v>15</v>
      </c>
      <c r="H208">
        <v>222</v>
      </c>
      <c r="I208">
        <v>0</v>
      </c>
      <c r="J208">
        <v>319001</v>
      </c>
      <c r="K208">
        <f>5201/3</f>
        <v>1733.6666666666667</v>
      </c>
    </row>
    <row r="209" spans="1:24" x14ac:dyDescent="0.2">
      <c r="A209" t="s">
        <v>16</v>
      </c>
      <c r="B209">
        <v>2735</v>
      </c>
      <c r="C209">
        <v>5413</v>
      </c>
      <c r="D209">
        <v>63291085</v>
      </c>
      <c r="E209">
        <f>11784/3</f>
        <v>3928</v>
      </c>
      <c r="G209" t="s">
        <v>16</v>
      </c>
      <c r="H209">
        <v>321</v>
      </c>
      <c r="I209">
        <v>601</v>
      </c>
      <c r="J209">
        <v>3438014</v>
      </c>
      <c r="K209">
        <f>5860/3</f>
        <v>1953.3333333333333</v>
      </c>
    </row>
    <row r="210" spans="1:24" x14ac:dyDescent="0.2">
      <c r="A210" t="s">
        <v>17</v>
      </c>
      <c r="B210">
        <v>1513</v>
      </c>
      <c r="C210">
        <v>10297</v>
      </c>
      <c r="D210">
        <v>73467590</v>
      </c>
      <c r="E210">
        <f>7232/3</f>
        <v>2410.6666666666665</v>
      </c>
      <c r="G210" t="s">
        <v>17</v>
      </c>
      <c r="H210">
        <v>145</v>
      </c>
      <c r="I210">
        <v>971</v>
      </c>
      <c r="J210">
        <v>3841259</v>
      </c>
      <c r="K210">
        <f>4295/3</f>
        <v>1431.6666666666667</v>
      </c>
    </row>
    <row r="211" spans="1:24" x14ac:dyDescent="0.2">
      <c r="A211" s="4" t="s">
        <v>61</v>
      </c>
      <c r="B211">
        <v>1065</v>
      </c>
      <c r="C211">
        <v>14151</v>
      </c>
      <c r="D211">
        <v>100406784</v>
      </c>
      <c r="E211">
        <f>7162/3</f>
        <v>2387.3333333333335</v>
      </c>
      <c r="G211" s="4" t="s">
        <v>61</v>
      </c>
      <c r="H211">
        <v>98</v>
      </c>
      <c r="I211">
        <v>1365</v>
      </c>
      <c r="J211">
        <v>5195471</v>
      </c>
      <c r="K211">
        <f>3988/3</f>
        <v>1329.3333333333333</v>
      </c>
    </row>
    <row r="212" spans="1:24" x14ac:dyDescent="0.2">
      <c r="A212" t="s">
        <v>18</v>
      </c>
      <c r="B212">
        <v>563</v>
      </c>
      <c r="C212">
        <v>17123</v>
      </c>
      <c r="D212">
        <v>133602947</v>
      </c>
      <c r="E212">
        <f>7839/3</f>
        <v>2613</v>
      </c>
      <c r="G212" t="s">
        <v>18</v>
      </c>
      <c r="H212">
        <v>97</v>
      </c>
      <c r="I212">
        <v>3067</v>
      </c>
      <c r="J212">
        <v>11302826</v>
      </c>
      <c r="K212">
        <f>3824/3</f>
        <v>1274.6666666666667</v>
      </c>
    </row>
    <row r="213" spans="1:24" x14ac:dyDescent="0.2">
      <c r="A213" t="s">
        <v>19</v>
      </c>
      <c r="B213">
        <v>235</v>
      </c>
      <c r="C213">
        <v>16190</v>
      </c>
      <c r="D213">
        <v>121302411</v>
      </c>
      <c r="E213">
        <f>7577/3</f>
        <v>2525.6666666666665</v>
      </c>
      <c r="G213" t="s">
        <v>19</v>
      </c>
      <c r="H213">
        <v>34</v>
      </c>
      <c r="I213">
        <v>2176</v>
      </c>
      <c r="J213">
        <v>9780227</v>
      </c>
      <c r="K213">
        <f>4328/3</f>
        <v>1442.6666666666667</v>
      </c>
    </row>
    <row r="214" spans="1:24" x14ac:dyDescent="0.2">
      <c r="A214" t="s">
        <v>20</v>
      </c>
      <c r="B214">
        <v>105</v>
      </c>
      <c r="C214">
        <v>14897</v>
      </c>
      <c r="D214">
        <v>116266646</v>
      </c>
      <c r="E214">
        <f>7823/3</f>
        <v>2607.6666666666665</v>
      </c>
      <c r="G214" t="s">
        <v>20</v>
      </c>
      <c r="H214">
        <v>17</v>
      </c>
      <c r="I214">
        <v>2571</v>
      </c>
      <c r="J214">
        <v>39400750</v>
      </c>
      <c r="K214">
        <f>15633/3</f>
        <v>5211</v>
      </c>
    </row>
    <row r="215" spans="1:24" x14ac:dyDescent="0.2">
      <c r="A215" t="s">
        <v>21</v>
      </c>
      <c r="B215">
        <v>21</v>
      </c>
      <c r="C215">
        <v>7530</v>
      </c>
      <c r="D215">
        <v>71271252</v>
      </c>
      <c r="E215">
        <f>9462/3</f>
        <v>3154</v>
      </c>
      <c r="G215" t="s">
        <v>21</v>
      </c>
      <c r="H215">
        <v>6</v>
      </c>
      <c r="I215">
        <v>2027</v>
      </c>
      <c r="J215">
        <v>8868493</v>
      </c>
      <c r="K215">
        <f>4385/3</f>
        <v>1461.6666666666667</v>
      </c>
      <c r="X215" t="s">
        <v>28</v>
      </c>
    </row>
    <row r="216" spans="1:24" x14ac:dyDescent="0.2">
      <c r="A216" t="s">
        <v>23</v>
      </c>
      <c r="B216">
        <v>12</v>
      </c>
      <c r="C216">
        <v>7754</v>
      </c>
      <c r="D216">
        <v>69695359</v>
      </c>
      <c r="E216">
        <f>9010/3</f>
        <v>3003.3333333333335</v>
      </c>
      <c r="G216" t="s">
        <v>31</v>
      </c>
      <c r="H216">
        <v>4</v>
      </c>
      <c r="I216">
        <f>1431+3291</f>
        <v>4722</v>
      </c>
      <c r="J216">
        <f>3898742+19454800</f>
        <v>23353542</v>
      </c>
      <c r="K216" s="8">
        <f>+J216/14193</f>
        <v>1645.42675967026</v>
      </c>
    </row>
    <row r="217" spans="1:24" x14ac:dyDescent="0.2">
      <c r="A217" t="s">
        <v>24</v>
      </c>
      <c r="B217">
        <v>11</v>
      </c>
      <c r="C217">
        <v>26360</v>
      </c>
      <c r="D217">
        <v>278257563</v>
      </c>
      <c r="E217">
        <f>10599/3</f>
        <v>3533</v>
      </c>
      <c r="G217" t="s">
        <v>28</v>
      </c>
      <c r="H217" t="s">
        <v>28</v>
      </c>
      <c r="J217" t="s">
        <v>28</v>
      </c>
      <c r="K217" t="s">
        <v>28</v>
      </c>
    </row>
    <row r="221" spans="1:24" x14ac:dyDescent="0.2">
      <c r="B221" s="12" t="s">
        <v>45</v>
      </c>
      <c r="H221" s="12" t="s">
        <v>46</v>
      </c>
    </row>
    <row r="223" spans="1:24" s="13" customFormat="1" x14ac:dyDescent="0.2">
      <c r="D223" s="13" t="s">
        <v>2</v>
      </c>
      <c r="E223" s="13" t="s">
        <v>3</v>
      </c>
      <c r="J223" s="13" t="s">
        <v>2</v>
      </c>
      <c r="K223" s="13" t="s">
        <v>3</v>
      </c>
    </row>
    <row r="224" spans="1:24" s="13" customFormat="1" x14ac:dyDescent="0.2">
      <c r="A224" s="24" t="s">
        <v>4</v>
      </c>
      <c r="B224" s="24" t="s">
        <v>5</v>
      </c>
      <c r="C224" s="24" t="s">
        <v>6</v>
      </c>
      <c r="D224" s="24" t="s">
        <v>7</v>
      </c>
      <c r="E224" s="24" t="s">
        <v>8</v>
      </c>
      <c r="F224" s="24"/>
      <c r="G224" s="24" t="s">
        <v>4</v>
      </c>
      <c r="H224" s="24" t="s">
        <v>5</v>
      </c>
      <c r="I224" s="24" t="s">
        <v>6</v>
      </c>
      <c r="J224" s="24" t="s">
        <v>7</v>
      </c>
      <c r="K224" s="24" t="s">
        <v>8</v>
      </c>
    </row>
    <row r="225" spans="1:29" s="24" customFormat="1" ht="13.5" thickBot="1" x14ac:dyDescent="0.25">
      <c r="A225" s="14" t="s">
        <v>9</v>
      </c>
      <c r="B225" s="14" t="s">
        <v>10</v>
      </c>
      <c r="C225" s="14" t="s">
        <v>11</v>
      </c>
      <c r="D225" s="14" t="s">
        <v>12</v>
      </c>
      <c r="E225" s="14" t="s">
        <v>13</v>
      </c>
      <c r="F225" s="14"/>
      <c r="G225" s="14" t="s">
        <v>9</v>
      </c>
      <c r="H225" s="14" t="s">
        <v>10</v>
      </c>
      <c r="I225" s="14" t="s">
        <v>11</v>
      </c>
      <c r="J225" s="14" t="s">
        <v>12</v>
      </c>
      <c r="K225" s="14" t="s">
        <v>13</v>
      </c>
    </row>
    <row r="226" spans="1:29" ht="13.5" thickTop="1" x14ac:dyDescent="0.2"/>
    <row r="228" spans="1:29" x14ac:dyDescent="0.2">
      <c r="A228" t="s">
        <v>27</v>
      </c>
      <c r="B228">
        <f>SUM(B230:B238)</f>
        <v>4795</v>
      </c>
      <c r="C228">
        <f>SUM(C230:C238)</f>
        <v>92314</v>
      </c>
      <c r="D228">
        <f>SUM(D230:D238)</f>
        <v>326629642</v>
      </c>
      <c r="E228" s="5">
        <f>3578/3</f>
        <v>1192.6666666666667</v>
      </c>
      <c r="G228" t="s">
        <v>27</v>
      </c>
      <c r="H228">
        <f>SUM(H230:H238)</f>
        <v>4759</v>
      </c>
      <c r="I228">
        <f>SUM(I230:I238)</f>
        <v>33592</v>
      </c>
      <c r="J228" s="5">
        <f>SUM(J230:J238)</f>
        <v>231153690</v>
      </c>
      <c r="K228" s="9" t="e">
        <f>#REF!/(#REF!+#REF!+#REF!)</f>
        <v>#REF!</v>
      </c>
      <c r="N228">
        <v>81</v>
      </c>
      <c r="S228">
        <v>99</v>
      </c>
      <c r="AA228" s="7" t="s">
        <v>63</v>
      </c>
    </row>
    <row r="229" spans="1:29" x14ac:dyDescent="0.2">
      <c r="A229" t="s">
        <v>28</v>
      </c>
      <c r="G229" t="s">
        <v>28</v>
      </c>
      <c r="K229" s="8"/>
    </row>
    <row r="230" spans="1:29" x14ac:dyDescent="0.2">
      <c r="A230" t="s">
        <v>15</v>
      </c>
      <c r="B230">
        <v>307</v>
      </c>
      <c r="C230">
        <v>0</v>
      </c>
      <c r="D230">
        <v>1457993</v>
      </c>
      <c r="E230">
        <f>4020/3</f>
        <v>1340</v>
      </c>
      <c r="G230" t="s">
        <v>15</v>
      </c>
      <c r="H230">
        <f>+Z230</f>
        <v>463</v>
      </c>
      <c r="I230">
        <f>+AC230</f>
        <v>0</v>
      </c>
      <c r="J230">
        <f>+Y230</f>
        <v>941736</v>
      </c>
      <c r="K230" s="8">
        <f>+Y230/(AA230+AB230+AC230)</f>
        <v>2698.3839541547277</v>
      </c>
      <c r="M230">
        <v>0</v>
      </c>
      <c r="N230">
        <v>439</v>
      </c>
      <c r="O230">
        <v>207</v>
      </c>
      <c r="P230">
        <v>115</v>
      </c>
      <c r="Q230">
        <v>0</v>
      </c>
      <c r="R230">
        <v>851225</v>
      </c>
      <c r="S230">
        <v>0</v>
      </c>
      <c r="T230">
        <v>24</v>
      </c>
      <c r="U230">
        <v>18</v>
      </c>
      <c r="V230">
        <v>9</v>
      </c>
      <c r="W230">
        <v>0</v>
      </c>
      <c r="X230">
        <v>90511</v>
      </c>
      <c r="Y230" s="6">
        <f>+X230+R230</f>
        <v>941736</v>
      </c>
      <c r="Z230" s="6">
        <f>+T230+N230</f>
        <v>463</v>
      </c>
      <c r="AA230" s="6">
        <f t="shared" ref="AA230:AC238" si="0">+U230+O230</f>
        <v>225</v>
      </c>
      <c r="AB230" s="6">
        <f t="shared" si="0"/>
        <v>124</v>
      </c>
      <c r="AC230" s="6">
        <f t="shared" si="0"/>
        <v>0</v>
      </c>
    </row>
    <row r="231" spans="1:29" x14ac:dyDescent="0.2">
      <c r="A231" t="s">
        <v>16</v>
      </c>
      <c r="B231">
        <v>788</v>
      </c>
      <c r="C231">
        <v>2033</v>
      </c>
      <c r="D231">
        <v>6750521</v>
      </c>
      <c r="E231">
        <f>3345/3</f>
        <v>1115</v>
      </c>
      <c r="G231" t="s">
        <v>16</v>
      </c>
      <c r="H231">
        <f t="shared" ref="H231:H238" si="1">+Z231</f>
        <v>2467</v>
      </c>
      <c r="I231">
        <f t="shared" ref="I231:I238" si="2">+AC231</f>
        <v>5102</v>
      </c>
      <c r="J231">
        <f t="shared" ref="J231:J238" si="3">+Y231</f>
        <v>32700879</v>
      </c>
      <c r="K231" s="8">
        <f t="shared" ref="K231:K238" si="4">+Y231/(AA231+AB231+AC231)</f>
        <v>2160.4703356236787</v>
      </c>
      <c r="M231">
        <v>1</v>
      </c>
      <c r="N231">
        <v>2429</v>
      </c>
      <c r="O231">
        <v>4972</v>
      </c>
      <c r="P231">
        <v>4987</v>
      </c>
      <c r="Q231">
        <v>5051</v>
      </c>
      <c r="R231">
        <v>32146812</v>
      </c>
      <c r="S231">
        <v>1</v>
      </c>
      <c r="T231">
        <v>38</v>
      </c>
      <c r="U231">
        <v>34</v>
      </c>
      <c r="V231">
        <v>41</v>
      </c>
      <c r="W231">
        <v>51</v>
      </c>
      <c r="X231">
        <v>554067</v>
      </c>
      <c r="Y231" s="6">
        <f t="shared" ref="Y231:Y238" si="5">+X231+R231</f>
        <v>32700879</v>
      </c>
      <c r="Z231" s="6">
        <f t="shared" ref="Z231:Z238" si="6">+T231+N231</f>
        <v>2467</v>
      </c>
      <c r="AA231" s="6">
        <f t="shared" si="0"/>
        <v>5006</v>
      </c>
      <c r="AB231" s="6">
        <f t="shared" si="0"/>
        <v>5028</v>
      </c>
      <c r="AC231" s="6">
        <f t="shared" si="0"/>
        <v>5102</v>
      </c>
    </row>
    <row r="232" spans="1:29" x14ac:dyDescent="0.2">
      <c r="A232" t="s">
        <v>17</v>
      </c>
      <c r="B232">
        <v>864</v>
      </c>
      <c r="C232">
        <v>5961</v>
      </c>
      <c r="D232">
        <v>16525460</v>
      </c>
      <c r="E232">
        <f>2825/3</f>
        <v>941.66666666666663</v>
      </c>
      <c r="G232" t="s">
        <v>17</v>
      </c>
      <c r="H232">
        <f t="shared" si="1"/>
        <v>1054</v>
      </c>
      <c r="I232">
        <f t="shared" si="2"/>
        <v>7024</v>
      </c>
      <c r="J232">
        <f t="shared" si="3"/>
        <v>42178532</v>
      </c>
      <c r="K232" s="8">
        <f t="shared" si="4"/>
        <v>2028.0090393307048</v>
      </c>
      <c r="M232">
        <v>2</v>
      </c>
      <c r="N232">
        <v>1049</v>
      </c>
      <c r="O232">
        <v>6827</v>
      </c>
      <c r="P232">
        <v>6889</v>
      </c>
      <c r="Q232">
        <v>6989</v>
      </c>
      <c r="R232">
        <v>41704459</v>
      </c>
      <c r="S232">
        <v>2</v>
      </c>
      <c r="T232">
        <v>5</v>
      </c>
      <c r="U232">
        <v>29</v>
      </c>
      <c r="V232">
        <v>29</v>
      </c>
      <c r="W232">
        <v>35</v>
      </c>
      <c r="X232">
        <v>474073</v>
      </c>
      <c r="Y232" s="6">
        <f t="shared" si="5"/>
        <v>42178532</v>
      </c>
      <c r="Z232" s="6">
        <f t="shared" si="6"/>
        <v>1054</v>
      </c>
      <c r="AA232" s="6">
        <f t="shared" si="0"/>
        <v>6856</v>
      </c>
      <c r="AB232" s="6">
        <f t="shared" si="0"/>
        <v>6918</v>
      </c>
      <c r="AC232" s="6">
        <f t="shared" si="0"/>
        <v>7024</v>
      </c>
    </row>
    <row r="233" spans="1:29" x14ac:dyDescent="0.2">
      <c r="A233" s="4" t="s">
        <v>61</v>
      </c>
      <c r="B233">
        <v>1317</v>
      </c>
      <c r="C233">
        <v>18494</v>
      </c>
      <c r="D233">
        <v>53274684</v>
      </c>
      <c r="E233">
        <f>2957/3</f>
        <v>985.66666666666663</v>
      </c>
      <c r="G233" s="4" t="s">
        <v>61</v>
      </c>
      <c r="H233">
        <f t="shared" si="1"/>
        <v>527</v>
      </c>
      <c r="I233">
        <f t="shared" si="2"/>
        <v>6835</v>
      </c>
      <c r="J233">
        <f t="shared" si="3"/>
        <v>43797145</v>
      </c>
      <c r="K233" s="8">
        <f t="shared" si="4"/>
        <v>2159.196657464011</v>
      </c>
      <c r="M233">
        <v>3</v>
      </c>
      <c r="N233">
        <v>527</v>
      </c>
      <c r="O233">
        <v>6691</v>
      </c>
      <c r="P233">
        <v>6758</v>
      </c>
      <c r="Q233">
        <v>6835</v>
      </c>
      <c r="R233">
        <v>43797145</v>
      </c>
      <c r="S233">
        <v>3</v>
      </c>
      <c r="T233">
        <v>0</v>
      </c>
      <c r="U233">
        <v>0</v>
      </c>
      <c r="V233">
        <v>0</v>
      </c>
      <c r="W233">
        <v>0</v>
      </c>
      <c r="X233">
        <v>0</v>
      </c>
      <c r="Y233" s="6">
        <f t="shared" si="5"/>
        <v>43797145</v>
      </c>
      <c r="Z233" s="6">
        <f t="shared" si="6"/>
        <v>527</v>
      </c>
      <c r="AA233" s="6">
        <f t="shared" si="0"/>
        <v>6691</v>
      </c>
      <c r="AB233" s="6">
        <f t="shared" si="0"/>
        <v>6758</v>
      </c>
      <c r="AC233" s="6">
        <f t="shared" si="0"/>
        <v>6835</v>
      </c>
    </row>
    <row r="234" spans="1:29" x14ac:dyDescent="0.2">
      <c r="A234" t="s">
        <v>18</v>
      </c>
      <c r="B234">
        <v>1199</v>
      </c>
      <c r="C234">
        <v>35557</v>
      </c>
      <c r="D234">
        <v>114953662</v>
      </c>
      <c r="E234">
        <f>3296/3</f>
        <v>1098.6666666666667</v>
      </c>
      <c r="G234" t="s">
        <v>18</v>
      </c>
      <c r="H234">
        <f t="shared" si="1"/>
        <v>178</v>
      </c>
      <c r="I234">
        <f t="shared" si="2"/>
        <v>5156</v>
      </c>
      <c r="J234">
        <f t="shared" si="3"/>
        <v>34440542</v>
      </c>
      <c r="K234" s="8">
        <f t="shared" si="4"/>
        <v>2228.4401164671626</v>
      </c>
      <c r="M234">
        <v>4</v>
      </c>
      <c r="N234">
        <v>178</v>
      </c>
      <c r="O234">
        <v>5131</v>
      </c>
      <c r="P234">
        <v>5168</v>
      </c>
      <c r="Q234">
        <v>5156</v>
      </c>
      <c r="R234">
        <v>34440542</v>
      </c>
      <c r="Y234" s="6">
        <f t="shared" si="5"/>
        <v>34440542</v>
      </c>
      <c r="Z234" s="6">
        <f t="shared" si="6"/>
        <v>178</v>
      </c>
      <c r="AA234" s="6">
        <f t="shared" si="0"/>
        <v>5131</v>
      </c>
      <c r="AB234" s="6">
        <f t="shared" si="0"/>
        <v>5168</v>
      </c>
      <c r="AC234" s="6">
        <f t="shared" si="0"/>
        <v>5156</v>
      </c>
    </row>
    <row r="235" spans="1:29" x14ac:dyDescent="0.2">
      <c r="A235" t="s">
        <v>19</v>
      </c>
      <c r="B235">
        <v>258</v>
      </c>
      <c r="C235">
        <v>16821</v>
      </c>
      <c r="D235">
        <v>65396858</v>
      </c>
      <c r="E235">
        <f>3938/3</f>
        <v>1312.6666666666667</v>
      </c>
      <c r="G235" t="s">
        <v>19</v>
      </c>
      <c r="H235">
        <f t="shared" si="1"/>
        <v>46</v>
      </c>
      <c r="I235">
        <f t="shared" si="2"/>
        <v>3083</v>
      </c>
      <c r="J235">
        <f t="shared" si="3"/>
        <v>21857766</v>
      </c>
      <c r="K235" s="8">
        <f t="shared" si="4"/>
        <v>2362.7462976975462</v>
      </c>
      <c r="M235">
        <v>5</v>
      </c>
      <c r="N235">
        <v>46</v>
      </c>
      <c r="O235">
        <v>3083</v>
      </c>
      <c r="P235">
        <v>3085</v>
      </c>
      <c r="Q235">
        <v>3083</v>
      </c>
      <c r="R235">
        <v>21857766</v>
      </c>
      <c r="Y235" s="6">
        <f t="shared" si="5"/>
        <v>21857766</v>
      </c>
      <c r="Z235" s="6">
        <f t="shared" si="6"/>
        <v>46</v>
      </c>
      <c r="AA235" s="6">
        <f t="shared" si="0"/>
        <v>3083</v>
      </c>
      <c r="AB235" s="6">
        <f t="shared" si="0"/>
        <v>3085</v>
      </c>
      <c r="AC235" s="6">
        <f t="shared" si="0"/>
        <v>3083</v>
      </c>
    </row>
    <row r="236" spans="1:29" x14ac:dyDescent="0.2">
      <c r="A236" t="s">
        <v>20</v>
      </c>
      <c r="B236">
        <v>51</v>
      </c>
      <c r="C236">
        <v>7136</v>
      </c>
      <c r="D236">
        <v>32296891</v>
      </c>
      <c r="E236">
        <f>4495/3</f>
        <v>1498.3333333333333</v>
      </c>
      <c r="G236" t="s">
        <v>20</v>
      </c>
      <c r="H236">
        <f t="shared" si="1"/>
        <v>14</v>
      </c>
      <c r="I236">
        <f t="shared" si="2"/>
        <v>2033</v>
      </c>
      <c r="J236">
        <f t="shared" si="3"/>
        <v>13776016</v>
      </c>
      <c r="K236" s="8">
        <f t="shared" si="4"/>
        <v>2253.9293193717276</v>
      </c>
      <c r="M236">
        <v>6</v>
      </c>
      <c r="N236">
        <v>14</v>
      </c>
      <c r="O236">
        <v>2044</v>
      </c>
      <c r="P236">
        <v>2035</v>
      </c>
      <c r="Q236">
        <v>2033</v>
      </c>
      <c r="R236">
        <v>13776016</v>
      </c>
      <c r="Y236" s="6">
        <f t="shared" si="5"/>
        <v>13776016</v>
      </c>
      <c r="Z236" s="6">
        <f t="shared" si="6"/>
        <v>14</v>
      </c>
      <c r="AA236" s="6">
        <f t="shared" si="0"/>
        <v>2044</v>
      </c>
      <c r="AB236" s="6">
        <f t="shared" si="0"/>
        <v>2035</v>
      </c>
      <c r="AC236" s="6">
        <f t="shared" si="0"/>
        <v>2033</v>
      </c>
    </row>
    <row r="237" spans="1:29" x14ac:dyDescent="0.2">
      <c r="A237" t="s">
        <v>21</v>
      </c>
      <c r="B237">
        <v>8</v>
      </c>
      <c r="C237">
        <v>2939</v>
      </c>
      <c r="D237">
        <v>17162494</v>
      </c>
      <c r="E237">
        <f>5773/3</f>
        <v>1924.3333333333333</v>
      </c>
      <c r="G237" t="s">
        <v>21</v>
      </c>
      <c r="H237">
        <f t="shared" si="1"/>
        <v>7</v>
      </c>
      <c r="I237">
        <f t="shared" si="2"/>
        <v>2475</v>
      </c>
      <c r="J237">
        <f t="shared" si="3"/>
        <v>17951676</v>
      </c>
      <c r="K237" s="8">
        <f t="shared" si="4"/>
        <v>2621.4480140186915</v>
      </c>
      <c r="M237">
        <v>7</v>
      </c>
      <c r="N237">
        <v>7</v>
      </c>
      <c r="O237">
        <v>2159</v>
      </c>
      <c r="P237">
        <v>2214</v>
      </c>
      <c r="Q237">
        <v>2475</v>
      </c>
      <c r="R237">
        <v>17951676</v>
      </c>
      <c r="Y237" s="6">
        <f t="shared" si="5"/>
        <v>17951676</v>
      </c>
      <c r="Z237" s="6">
        <f t="shared" si="6"/>
        <v>7</v>
      </c>
      <c r="AA237" s="6">
        <f t="shared" si="0"/>
        <v>2159</v>
      </c>
      <c r="AB237" s="6">
        <f t="shared" si="0"/>
        <v>2214</v>
      </c>
      <c r="AC237" s="6">
        <f t="shared" si="0"/>
        <v>2475</v>
      </c>
    </row>
    <row r="238" spans="1:29" x14ac:dyDescent="0.2">
      <c r="A238" t="s">
        <v>31</v>
      </c>
      <c r="B238">
        <v>3</v>
      </c>
      <c r="C238">
        <f>541+2832</f>
        <v>3373</v>
      </c>
      <c r="D238">
        <f>3057556+15753523</f>
        <v>18811079</v>
      </c>
      <c r="E238" s="8">
        <f>+D238/13119</f>
        <v>1433.8805549203446</v>
      </c>
      <c r="G238" t="s">
        <v>59</v>
      </c>
      <c r="H238">
        <f t="shared" si="1"/>
        <v>3</v>
      </c>
      <c r="I238">
        <f t="shared" si="2"/>
        <v>1884</v>
      </c>
      <c r="J238">
        <f t="shared" si="3"/>
        <v>23509398</v>
      </c>
      <c r="K238" s="8">
        <f t="shared" si="4"/>
        <v>4144.0856689582233</v>
      </c>
      <c r="M238">
        <v>8</v>
      </c>
      <c r="N238">
        <v>3</v>
      </c>
      <c r="O238">
        <v>1893</v>
      </c>
      <c r="P238">
        <v>1896</v>
      </c>
      <c r="Q238">
        <v>1884</v>
      </c>
      <c r="R238">
        <v>23509398</v>
      </c>
      <c r="Y238" s="6">
        <f t="shared" si="5"/>
        <v>23509398</v>
      </c>
      <c r="Z238" s="6">
        <f t="shared" si="6"/>
        <v>3</v>
      </c>
      <c r="AA238" s="6">
        <f t="shared" si="0"/>
        <v>1893</v>
      </c>
      <c r="AB238" s="6">
        <f t="shared" si="0"/>
        <v>1896</v>
      </c>
      <c r="AC238" s="6">
        <f t="shared" si="0"/>
        <v>1884</v>
      </c>
    </row>
    <row r="239" spans="1:29" x14ac:dyDescent="0.2">
      <c r="A239" s="23"/>
      <c r="B239" s="23"/>
      <c r="Y239" s="6"/>
      <c r="Z239" s="6"/>
      <c r="AA239" s="6"/>
      <c r="AB239" s="6"/>
      <c r="AC239" s="6"/>
    </row>
    <row r="240" spans="1:29" x14ac:dyDescent="0.2">
      <c r="A240" s="17" t="s">
        <v>67</v>
      </c>
      <c r="B240" s="17"/>
      <c r="C240" s="17"/>
      <c r="D240" s="17"/>
      <c r="E240" s="17"/>
      <c r="F240" s="17"/>
      <c r="G240" s="17"/>
      <c r="H240" s="17"/>
      <c r="I240" s="17"/>
    </row>
    <row r="241" spans="1:11" x14ac:dyDescent="0.2">
      <c r="A241" s="11"/>
      <c r="B241" s="11"/>
      <c r="C241" s="11"/>
      <c r="D241" s="11"/>
      <c r="E241" s="11"/>
      <c r="F241" s="11"/>
      <c r="G241" s="11"/>
      <c r="H241" s="11"/>
      <c r="I241" s="11"/>
    </row>
    <row r="245" spans="1:11" x14ac:dyDescent="0.2">
      <c r="D245" s="17"/>
      <c r="E245" s="17"/>
      <c r="F245" s="17"/>
      <c r="G245" s="17"/>
      <c r="H245" s="17"/>
    </row>
    <row r="247" spans="1:11" x14ac:dyDescent="0.2">
      <c r="B247" s="12" t="s">
        <v>58</v>
      </c>
      <c r="H247" s="12" t="s">
        <v>47</v>
      </c>
    </row>
    <row r="249" spans="1:11" s="13" customFormat="1" x14ac:dyDescent="0.2">
      <c r="D249" s="13" t="s">
        <v>2</v>
      </c>
      <c r="E249" s="13" t="s">
        <v>3</v>
      </c>
      <c r="J249" s="13" t="s">
        <v>2</v>
      </c>
      <c r="K249" s="13" t="s">
        <v>3</v>
      </c>
    </row>
    <row r="250" spans="1:11" s="13" customFormat="1" x14ac:dyDescent="0.2">
      <c r="A250" s="13" t="s">
        <v>4</v>
      </c>
      <c r="B250" s="13" t="s">
        <v>5</v>
      </c>
      <c r="C250" s="13" t="s">
        <v>6</v>
      </c>
      <c r="D250" s="13" t="s">
        <v>7</v>
      </c>
      <c r="E250" s="13" t="s">
        <v>8</v>
      </c>
      <c r="G250" s="13" t="s">
        <v>4</v>
      </c>
      <c r="H250" s="13" t="s">
        <v>5</v>
      </c>
      <c r="I250" s="13" t="s">
        <v>6</v>
      </c>
      <c r="J250" s="13" t="s">
        <v>7</v>
      </c>
      <c r="K250" s="13" t="s">
        <v>8</v>
      </c>
    </row>
    <row r="251" spans="1:11" s="14" customFormat="1" ht="13.5" thickBot="1" x14ac:dyDescent="0.25">
      <c r="A251" s="14" t="s">
        <v>9</v>
      </c>
      <c r="B251" s="14" t="s">
        <v>10</v>
      </c>
      <c r="C251" s="14" t="s">
        <v>11</v>
      </c>
      <c r="D251" s="14" t="s">
        <v>12</v>
      </c>
      <c r="E251" s="14" t="s">
        <v>13</v>
      </c>
      <c r="G251" s="14" t="s">
        <v>9</v>
      </c>
      <c r="H251" s="14" t="s">
        <v>10</v>
      </c>
      <c r="I251" s="14" t="s">
        <v>11</v>
      </c>
      <c r="J251" s="14" t="s">
        <v>12</v>
      </c>
      <c r="K251" s="14" t="s">
        <v>13</v>
      </c>
    </row>
    <row r="252" spans="1:11" ht="13.5" thickTop="1" x14ac:dyDescent="0.2"/>
    <row r="254" spans="1:11" x14ac:dyDescent="0.2">
      <c r="A254" t="s">
        <v>27</v>
      </c>
      <c r="B254">
        <f>SUM(B256:B265)</f>
        <v>3776</v>
      </c>
      <c r="C254">
        <f>SUM(C256:C265)</f>
        <v>218307</v>
      </c>
      <c r="D254" s="5">
        <f>SUM(D256:D265)</f>
        <v>2046183002</v>
      </c>
      <c r="E254" s="1">
        <f>9421/3</f>
        <v>3140.3333333333335</v>
      </c>
      <c r="G254" t="s">
        <v>27</v>
      </c>
      <c r="H254">
        <f>SUM(H256:H265)</f>
        <v>591</v>
      </c>
      <c r="I254">
        <f>SUM(I256:I265)</f>
        <v>36748</v>
      </c>
      <c r="J254" s="5">
        <f>SUM(J256:J265)</f>
        <v>515066034</v>
      </c>
      <c r="K254" s="5">
        <f>14247/3</f>
        <v>4749</v>
      </c>
    </row>
    <row r="255" spans="1:11" x14ac:dyDescent="0.2">
      <c r="A255" t="s">
        <v>28</v>
      </c>
      <c r="G255" t="s">
        <v>28</v>
      </c>
    </row>
    <row r="256" spans="1:11" x14ac:dyDescent="0.2">
      <c r="A256" t="s">
        <v>15</v>
      </c>
      <c r="B256">
        <v>79</v>
      </c>
      <c r="C256">
        <v>0</v>
      </c>
      <c r="D256">
        <v>80392</v>
      </c>
      <c r="E256">
        <f>9647/3</f>
        <v>3215.6666666666665</v>
      </c>
      <c r="G256" t="s">
        <v>15</v>
      </c>
      <c r="H256">
        <v>31</v>
      </c>
      <c r="I256">
        <v>0</v>
      </c>
      <c r="J256">
        <v>11280</v>
      </c>
      <c r="K256">
        <f>8460/3</f>
        <v>2820</v>
      </c>
    </row>
    <row r="257" spans="1:11" x14ac:dyDescent="0.2">
      <c r="A257" t="s">
        <v>16</v>
      </c>
      <c r="B257">
        <v>775</v>
      </c>
      <c r="C257">
        <v>1839</v>
      </c>
      <c r="D257">
        <v>16390469</v>
      </c>
      <c r="E257">
        <f>8842/3</f>
        <v>2947.3333333333335</v>
      </c>
      <c r="G257" t="s">
        <v>16</v>
      </c>
      <c r="H257">
        <v>239</v>
      </c>
      <c r="I257">
        <v>542</v>
      </c>
      <c r="J257">
        <v>5539711</v>
      </c>
      <c r="K257">
        <f>10140/3</f>
        <v>3380</v>
      </c>
    </row>
    <row r="258" spans="1:11" x14ac:dyDescent="0.2">
      <c r="A258" t="s">
        <v>17</v>
      </c>
      <c r="B258">
        <v>687</v>
      </c>
      <c r="C258">
        <v>4546</v>
      </c>
      <c r="D258">
        <v>35016813</v>
      </c>
      <c r="E258">
        <f>7754/3</f>
        <v>2584.6666666666665</v>
      </c>
      <c r="G258" t="s">
        <v>17</v>
      </c>
      <c r="H258">
        <v>81</v>
      </c>
      <c r="I258">
        <v>547</v>
      </c>
      <c r="J258">
        <v>7167922</v>
      </c>
      <c r="K258">
        <f>13282/3</f>
        <v>4427.333333333333</v>
      </c>
    </row>
    <row r="259" spans="1:11" x14ac:dyDescent="0.2">
      <c r="A259" s="4" t="s">
        <v>61</v>
      </c>
      <c r="B259">
        <v>504</v>
      </c>
      <c r="C259">
        <v>6969</v>
      </c>
      <c r="D259">
        <v>60722674</v>
      </c>
      <c r="E259">
        <f>8894/3</f>
        <v>2964.6666666666665</v>
      </c>
      <c r="G259" s="4" t="s">
        <v>61</v>
      </c>
      <c r="H259">
        <v>89</v>
      </c>
      <c r="I259">
        <v>1228</v>
      </c>
      <c r="J259">
        <v>14967813</v>
      </c>
      <c r="K259">
        <f>13257/3</f>
        <v>4419</v>
      </c>
    </row>
    <row r="260" spans="1:11" x14ac:dyDescent="0.2">
      <c r="A260" t="s">
        <v>18</v>
      </c>
      <c r="B260">
        <v>701</v>
      </c>
      <c r="C260">
        <v>22515</v>
      </c>
      <c r="D260">
        <v>187842783</v>
      </c>
      <c r="E260">
        <f>8423/3</f>
        <v>2807.6666666666665</v>
      </c>
      <c r="G260" t="s">
        <v>18</v>
      </c>
      <c r="H260">
        <v>68</v>
      </c>
      <c r="I260">
        <v>2139</v>
      </c>
      <c r="J260">
        <v>25152317</v>
      </c>
      <c r="K260">
        <f>12518/3</f>
        <v>4172.666666666667</v>
      </c>
    </row>
    <row r="261" spans="1:11" x14ac:dyDescent="0.2">
      <c r="A261" t="s">
        <v>19</v>
      </c>
      <c r="B261">
        <v>697</v>
      </c>
      <c r="C261">
        <v>47551</v>
      </c>
      <c r="D261">
        <v>397154331</v>
      </c>
      <c r="E261">
        <f>8374/3</f>
        <v>2791.3333333333335</v>
      </c>
      <c r="F261" t="s">
        <v>28</v>
      </c>
      <c r="G261" t="s">
        <v>19</v>
      </c>
      <c r="H261">
        <v>42</v>
      </c>
      <c r="I261">
        <v>2854</v>
      </c>
      <c r="J261">
        <v>37779482</v>
      </c>
      <c r="K261">
        <f>13488/3</f>
        <v>4496</v>
      </c>
    </row>
    <row r="262" spans="1:11" x14ac:dyDescent="0.2">
      <c r="A262" t="s">
        <v>20</v>
      </c>
      <c r="B262">
        <v>227</v>
      </c>
      <c r="C262">
        <v>33184</v>
      </c>
      <c r="D262">
        <v>282462022</v>
      </c>
      <c r="E262">
        <f>8526/3</f>
        <v>2842</v>
      </c>
      <c r="G262" t="s">
        <v>20</v>
      </c>
      <c r="H262">
        <v>25</v>
      </c>
      <c r="I262">
        <v>3752</v>
      </c>
      <c r="J262">
        <v>54932753</v>
      </c>
      <c r="K262">
        <f>14817/3</f>
        <v>4939</v>
      </c>
    </row>
    <row r="263" spans="1:11" x14ac:dyDescent="0.2">
      <c r="A263" t="s">
        <v>21</v>
      </c>
      <c r="B263">
        <v>62</v>
      </c>
      <c r="C263">
        <v>21784</v>
      </c>
      <c r="D263">
        <v>202125899</v>
      </c>
      <c r="E263">
        <f>9319/3</f>
        <v>3106.3333333333335</v>
      </c>
      <c r="G263" t="s">
        <v>21</v>
      </c>
      <c r="H263">
        <v>8</v>
      </c>
      <c r="I263">
        <v>2696</v>
      </c>
      <c r="J263">
        <v>49724800</v>
      </c>
      <c r="K263">
        <f>18490/3</f>
        <v>6163.333333333333</v>
      </c>
    </row>
    <row r="264" spans="1:11" x14ac:dyDescent="0.2">
      <c r="A264" t="s">
        <v>23</v>
      </c>
      <c r="B264">
        <v>29</v>
      </c>
      <c r="C264">
        <v>19487</v>
      </c>
      <c r="D264">
        <v>155991347</v>
      </c>
      <c r="E264">
        <f>8077/3</f>
        <v>2692.3333333333335</v>
      </c>
      <c r="G264" t="s">
        <v>60</v>
      </c>
      <c r="H264">
        <v>4</v>
      </c>
      <c r="I264">
        <v>2351</v>
      </c>
      <c r="J264">
        <v>31546303</v>
      </c>
      <c r="K264">
        <f>13386/3</f>
        <v>4462</v>
      </c>
    </row>
    <row r="265" spans="1:11" x14ac:dyDescent="0.2">
      <c r="A265" t="s">
        <v>24</v>
      </c>
      <c r="B265">
        <v>15</v>
      </c>
      <c r="C265">
        <v>60432</v>
      </c>
      <c r="D265">
        <v>708396272</v>
      </c>
      <c r="E265">
        <f>11783/3</f>
        <v>3927.6666666666665</v>
      </c>
      <c r="G265" t="s">
        <v>24</v>
      </c>
      <c r="H265">
        <v>4</v>
      </c>
      <c r="I265">
        <v>20639</v>
      </c>
      <c r="J265">
        <v>288243653</v>
      </c>
      <c r="K265">
        <f>14149/3</f>
        <v>4716.333333333333</v>
      </c>
    </row>
    <row r="269" spans="1:11" x14ac:dyDescent="0.2">
      <c r="B269" s="12" t="s">
        <v>48</v>
      </c>
      <c r="H269" s="12" t="s">
        <v>49</v>
      </c>
    </row>
    <row r="271" spans="1:11" x14ac:dyDescent="0.2">
      <c r="A271" s="13"/>
      <c r="B271" s="13"/>
      <c r="C271" s="13"/>
      <c r="D271" s="13" t="s">
        <v>2</v>
      </c>
      <c r="E271" s="13" t="s">
        <v>3</v>
      </c>
      <c r="F271" s="13"/>
      <c r="G271" s="13"/>
      <c r="H271" s="13"/>
      <c r="I271" s="13"/>
      <c r="J271" s="13" t="s">
        <v>2</v>
      </c>
      <c r="K271" s="13" t="s">
        <v>3</v>
      </c>
    </row>
    <row r="272" spans="1:11" x14ac:dyDescent="0.2">
      <c r="A272" s="13" t="s">
        <v>4</v>
      </c>
      <c r="B272" s="13" t="s">
        <v>5</v>
      </c>
      <c r="C272" s="13" t="s">
        <v>6</v>
      </c>
      <c r="D272" s="13" t="s">
        <v>7</v>
      </c>
      <c r="E272" s="13" t="s">
        <v>8</v>
      </c>
      <c r="F272" s="13"/>
      <c r="G272" s="13" t="s">
        <v>4</v>
      </c>
      <c r="H272" s="13" t="s">
        <v>5</v>
      </c>
      <c r="I272" s="13" t="s">
        <v>6</v>
      </c>
      <c r="J272" s="13" t="s">
        <v>7</v>
      </c>
      <c r="K272" s="13" t="s">
        <v>8</v>
      </c>
    </row>
    <row r="273" spans="1:11" s="15" customFormat="1" ht="13.5" thickBot="1" x14ac:dyDescent="0.25">
      <c r="A273" s="14" t="s">
        <v>9</v>
      </c>
      <c r="B273" s="14" t="s">
        <v>10</v>
      </c>
      <c r="C273" s="14" t="s">
        <v>11</v>
      </c>
      <c r="D273" s="14" t="s">
        <v>12</v>
      </c>
      <c r="E273" s="14" t="s">
        <v>13</v>
      </c>
      <c r="F273" s="14"/>
      <c r="G273" s="14" t="s">
        <v>9</v>
      </c>
      <c r="H273" s="14" t="s">
        <v>10</v>
      </c>
      <c r="I273" s="14" t="s">
        <v>11</v>
      </c>
      <c r="J273" s="14" t="s">
        <v>12</v>
      </c>
      <c r="K273" s="14" t="s">
        <v>13</v>
      </c>
    </row>
    <row r="274" spans="1:11" ht="13.5" thickTop="1" x14ac:dyDescent="0.2"/>
    <row r="276" spans="1:11" x14ac:dyDescent="0.2">
      <c r="A276" t="s">
        <v>27</v>
      </c>
      <c r="B276">
        <f>SUM(B278:B289)</f>
        <v>28</v>
      </c>
      <c r="C276">
        <f>SUM(C278:C289)</f>
        <v>14485</v>
      </c>
      <c r="D276" s="5">
        <f>SUM(D278:D289)</f>
        <v>230544449</v>
      </c>
      <c r="E276" s="5">
        <f>15955/3</f>
        <v>5318.333333333333</v>
      </c>
      <c r="G276" t="s">
        <v>27</v>
      </c>
      <c r="H276">
        <f>SUM(H278:H287)</f>
        <v>549</v>
      </c>
      <c r="I276">
        <f>SUM(I278:I287)</f>
        <v>65470</v>
      </c>
      <c r="J276" s="5">
        <f>SUM(J278:J287)</f>
        <v>639022478</v>
      </c>
      <c r="K276" s="5">
        <f>9794/3</f>
        <v>3264.6666666666665</v>
      </c>
    </row>
    <row r="277" spans="1:11" x14ac:dyDescent="0.2">
      <c r="G277" t="s">
        <v>28</v>
      </c>
    </row>
    <row r="278" spans="1:11" x14ac:dyDescent="0.2">
      <c r="A278" s="3">
        <v>0</v>
      </c>
      <c r="B278">
        <v>2</v>
      </c>
      <c r="C278">
        <v>0</v>
      </c>
      <c r="D278">
        <v>0</v>
      </c>
      <c r="E278">
        <f>0/3</f>
        <v>0</v>
      </c>
      <c r="G278" s="3">
        <v>0</v>
      </c>
      <c r="H278">
        <v>3</v>
      </c>
      <c r="I278">
        <v>0</v>
      </c>
      <c r="J278" s="8">
        <v>0</v>
      </c>
      <c r="K278" s="8">
        <v>0</v>
      </c>
    </row>
    <row r="279" spans="1:11" x14ac:dyDescent="0.2">
      <c r="A279" s="4" t="s">
        <v>16</v>
      </c>
      <c r="B279">
        <v>7</v>
      </c>
      <c r="C279">
        <v>19</v>
      </c>
      <c r="D279">
        <v>264273</v>
      </c>
      <c r="E279">
        <f>13438/3</f>
        <v>4479.333333333333</v>
      </c>
      <c r="G279" s="4" t="s">
        <v>16</v>
      </c>
      <c r="H279">
        <v>134</v>
      </c>
      <c r="I279">
        <v>321</v>
      </c>
      <c r="J279">
        <v>4007461</v>
      </c>
      <c r="K279">
        <f>12497/3</f>
        <v>4165.666666666667</v>
      </c>
    </row>
    <row r="280" spans="1:11" x14ac:dyDescent="0.2">
      <c r="A280" t="s">
        <v>17</v>
      </c>
      <c r="B280">
        <v>3</v>
      </c>
      <c r="C280">
        <v>19</v>
      </c>
      <c r="D280">
        <v>243694</v>
      </c>
      <c r="E280">
        <f>12826/3</f>
        <v>4275.333333333333</v>
      </c>
      <c r="G280" t="s">
        <v>17</v>
      </c>
      <c r="H280">
        <v>95</v>
      </c>
      <c r="I280">
        <v>641</v>
      </c>
      <c r="J280">
        <v>6753141</v>
      </c>
      <c r="K280">
        <f>10535/3</f>
        <v>3511.6666666666665</v>
      </c>
    </row>
    <row r="281" spans="1:11" x14ac:dyDescent="0.2">
      <c r="A281" s="4" t="s">
        <v>61</v>
      </c>
      <c r="B281">
        <v>2</v>
      </c>
      <c r="C281">
        <v>22</v>
      </c>
      <c r="D281">
        <v>289483</v>
      </c>
      <c r="E281">
        <f>14474/3</f>
        <v>4824.666666666667</v>
      </c>
      <c r="G281" s="4" t="s">
        <v>61</v>
      </c>
      <c r="H281">
        <v>83</v>
      </c>
      <c r="I281">
        <v>1168</v>
      </c>
      <c r="J281">
        <v>9584435</v>
      </c>
      <c r="K281">
        <f>8225/3</f>
        <v>2741.6666666666665</v>
      </c>
    </row>
    <row r="282" spans="1:11" x14ac:dyDescent="0.2">
      <c r="A282" t="s">
        <v>18</v>
      </c>
      <c r="B282">
        <v>3</v>
      </c>
      <c r="C282">
        <v>105</v>
      </c>
      <c r="D282">
        <v>1297597</v>
      </c>
      <c r="E282">
        <f>12319/3</f>
        <v>4106.333333333333</v>
      </c>
      <c r="G282" t="s">
        <v>18</v>
      </c>
      <c r="H282">
        <v>121</v>
      </c>
      <c r="I282">
        <v>3595</v>
      </c>
      <c r="J282">
        <v>32947328</v>
      </c>
      <c r="K282">
        <f>9079/3</f>
        <v>3026.3333333333335</v>
      </c>
    </row>
    <row r="283" spans="1:11" x14ac:dyDescent="0.2">
      <c r="A283" t="s">
        <v>19</v>
      </c>
      <c r="B283">
        <v>2</v>
      </c>
      <c r="C283">
        <v>156</v>
      </c>
      <c r="D283">
        <v>2478571</v>
      </c>
      <c r="E283">
        <f>15754/3</f>
        <v>5251.333333333333</v>
      </c>
      <c r="G283" t="s">
        <v>19</v>
      </c>
      <c r="H283">
        <v>43</v>
      </c>
      <c r="I283">
        <v>2890</v>
      </c>
      <c r="J283">
        <v>29576951</v>
      </c>
      <c r="K283">
        <f>10265/3</f>
        <v>3421.6666666666665</v>
      </c>
    </row>
    <row r="284" spans="1:11" x14ac:dyDescent="0.2">
      <c r="A284" t="s">
        <v>20</v>
      </c>
      <c r="B284">
        <v>3</v>
      </c>
      <c r="C284">
        <v>565</v>
      </c>
      <c r="D284">
        <v>8221272</v>
      </c>
      <c r="E284">
        <f>14725/3</f>
        <v>4908.333333333333</v>
      </c>
      <c r="G284" t="s">
        <v>20</v>
      </c>
      <c r="H284">
        <v>23</v>
      </c>
      <c r="I284">
        <v>3555</v>
      </c>
      <c r="J284">
        <v>30924728</v>
      </c>
      <c r="K284">
        <f>8709/3</f>
        <v>2903</v>
      </c>
    </row>
    <row r="285" spans="1:11" x14ac:dyDescent="0.2">
      <c r="A285" t="s">
        <v>21</v>
      </c>
      <c r="B285">
        <v>3</v>
      </c>
      <c r="C285">
        <v>1011</v>
      </c>
      <c r="D285">
        <v>17707637</v>
      </c>
      <c r="E285">
        <f>17573/3</f>
        <v>5857.666666666667</v>
      </c>
      <c r="G285" t="s">
        <v>21</v>
      </c>
      <c r="H285">
        <v>23</v>
      </c>
      <c r="I285">
        <v>8406</v>
      </c>
      <c r="J285">
        <v>72317925</v>
      </c>
      <c r="K285">
        <f>8630/3</f>
        <v>2876.6666666666665</v>
      </c>
    </row>
    <row r="286" spans="1:11" x14ac:dyDescent="0.2">
      <c r="A286" t="s">
        <v>23</v>
      </c>
      <c r="B286">
        <v>2</v>
      </c>
      <c r="C286">
        <v>1062</v>
      </c>
      <c r="D286">
        <v>16200817</v>
      </c>
      <c r="E286">
        <f>15313/3</f>
        <v>5104.333333333333</v>
      </c>
      <c r="G286" t="s">
        <v>23</v>
      </c>
      <c r="H286">
        <v>14</v>
      </c>
      <c r="I286">
        <v>10248</v>
      </c>
      <c r="J286">
        <v>75987411</v>
      </c>
      <c r="K286">
        <f>7479/3</f>
        <v>2493</v>
      </c>
    </row>
    <row r="287" spans="1:11" x14ac:dyDescent="0.2">
      <c r="A287" t="s">
        <v>24</v>
      </c>
      <c r="B287">
        <v>1</v>
      </c>
      <c r="C287">
        <v>11526</v>
      </c>
      <c r="D287">
        <v>183841105</v>
      </c>
      <c r="E287">
        <f>15980/3</f>
        <v>5326.666666666667</v>
      </c>
      <c r="G287" t="s">
        <v>24</v>
      </c>
      <c r="H287">
        <v>10</v>
      </c>
      <c r="I287">
        <v>34646</v>
      </c>
      <c r="J287">
        <v>376923098</v>
      </c>
      <c r="K287">
        <f>10920/3</f>
        <v>3640</v>
      </c>
    </row>
    <row r="288" spans="1:11" x14ac:dyDescent="0.2">
      <c r="A288" s="23"/>
      <c r="B288" s="23"/>
    </row>
    <row r="289" spans="1:11" x14ac:dyDescent="0.2">
      <c r="A289" s="20" t="s">
        <v>67</v>
      </c>
      <c r="B289" s="20"/>
      <c r="C289" s="20"/>
      <c r="D289" s="20"/>
      <c r="E289" s="20"/>
      <c r="F289" s="20"/>
      <c r="G289" s="20"/>
      <c r="H289" s="20"/>
      <c r="I289" s="20"/>
    </row>
    <row r="290" spans="1:11" x14ac:dyDescent="0.2">
      <c r="A290" s="26"/>
      <c r="B290" s="26"/>
      <c r="C290" s="26"/>
      <c r="D290" s="26"/>
      <c r="E290" s="26"/>
      <c r="F290" s="26"/>
      <c r="G290" s="26"/>
      <c r="H290" s="26"/>
      <c r="I290" s="26"/>
    </row>
    <row r="292" spans="1:11" x14ac:dyDescent="0.2">
      <c r="D292" s="17"/>
      <c r="E292" s="17"/>
      <c r="F292" s="17"/>
      <c r="G292" s="17"/>
      <c r="H292" s="17"/>
    </row>
    <row r="296" spans="1:11" x14ac:dyDescent="0.2">
      <c r="B296" s="12" t="s">
        <v>50</v>
      </c>
      <c r="H296" s="12" t="s">
        <v>51</v>
      </c>
    </row>
    <row r="298" spans="1:11" x14ac:dyDescent="0.2">
      <c r="A298" s="13"/>
      <c r="B298" s="13"/>
      <c r="C298" s="13"/>
      <c r="D298" s="13" t="s">
        <v>2</v>
      </c>
      <c r="E298" s="13" t="s">
        <v>3</v>
      </c>
      <c r="F298" s="13"/>
      <c r="G298" s="13"/>
      <c r="H298" s="13"/>
      <c r="I298" s="13"/>
      <c r="J298" s="13" t="s">
        <v>2</v>
      </c>
      <c r="K298" s="13" t="s">
        <v>3</v>
      </c>
    </row>
    <row r="299" spans="1:11" x14ac:dyDescent="0.2">
      <c r="A299" s="13" t="s">
        <v>4</v>
      </c>
      <c r="B299" s="13" t="s">
        <v>5</v>
      </c>
      <c r="C299" s="13" t="s">
        <v>6</v>
      </c>
      <c r="D299" s="13" t="s">
        <v>7</v>
      </c>
      <c r="E299" s="13" t="s">
        <v>8</v>
      </c>
      <c r="F299" s="13"/>
      <c r="G299" s="13" t="s">
        <v>4</v>
      </c>
      <c r="H299" s="13" t="s">
        <v>5</v>
      </c>
      <c r="I299" s="13" t="s">
        <v>6</v>
      </c>
      <c r="J299" s="13" t="s">
        <v>7</v>
      </c>
      <c r="K299" s="13" t="s">
        <v>8</v>
      </c>
    </row>
    <row r="300" spans="1:11" s="15" customFormat="1" ht="13.5" thickBot="1" x14ac:dyDescent="0.25">
      <c r="A300" s="14" t="s">
        <v>9</v>
      </c>
      <c r="B300" s="14" t="s">
        <v>10</v>
      </c>
      <c r="C300" s="14" t="s">
        <v>11</v>
      </c>
      <c r="D300" s="14" t="s">
        <v>12</v>
      </c>
      <c r="E300" s="14" t="s">
        <v>13</v>
      </c>
      <c r="F300" s="14"/>
      <c r="G300" s="14" t="s">
        <v>9</v>
      </c>
      <c r="H300" s="14" t="s">
        <v>10</v>
      </c>
      <c r="I300" s="14" t="s">
        <v>11</v>
      </c>
      <c r="J300" s="14" t="s">
        <v>12</v>
      </c>
      <c r="K300" s="14" t="s">
        <v>13</v>
      </c>
    </row>
    <row r="301" spans="1:11" ht="13.5" thickTop="1" x14ac:dyDescent="0.2"/>
    <row r="303" spans="1:11" x14ac:dyDescent="0.2">
      <c r="A303" t="s">
        <v>27</v>
      </c>
      <c r="B303">
        <f>SUM(B305:B314)</f>
        <v>56</v>
      </c>
      <c r="C303">
        <f>SUM(C305:C314)</f>
        <v>36893</v>
      </c>
      <c r="D303" s="5">
        <f>SUM(D305:D314)</f>
        <v>332841781</v>
      </c>
      <c r="E303" s="5">
        <f>9093/3</f>
        <v>3031</v>
      </c>
      <c r="G303" t="s">
        <v>27</v>
      </c>
      <c r="H303">
        <f>SUM(H305:H315)</f>
        <v>2636</v>
      </c>
      <c r="I303">
        <f>SUM(I305:I315)</f>
        <v>116089</v>
      </c>
      <c r="J303" s="5">
        <f>SUM(J305:J314)</f>
        <v>892094490</v>
      </c>
      <c r="K303" s="5">
        <f>7704/3</f>
        <v>2568</v>
      </c>
    </row>
    <row r="304" spans="1:11" x14ac:dyDescent="0.2">
      <c r="A304" t="s">
        <v>28</v>
      </c>
      <c r="G304" t="s">
        <v>28</v>
      </c>
    </row>
    <row r="305" spans="1:11" x14ac:dyDescent="0.2">
      <c r="A305" s="3">
        <v>0</v>
      </c>
      <c r="B305">
        <v>2</v>
      </c>
      <c r="C305">
        <v>0</v>
      </c>
      <c r="D305" s="8">
        <v>0</v>
      </c>
      <c r="E305">
        <v>0</v>
      </c>
      <c r="G305" t="s">
        <v>15</v>
      </c>
      <c r="H305">
        <v>45</v>
      </c>
      <c r="I305">
        <v>0</v>
      </c>
      <c r="J305">
        <v>69112</v>
      </c>
      <c r="K305">
        <f>9873/3</f>
        <v>3291</v>
      </c>
    </row>
    <row r="306" spans="1:11" x14ac:dyDescent="0.2">
      <c r="A306" s="4" t="s">
        <v>16</v>
      </c>
      <c r="B306">
        <v>5</v>
      </c>
      <c r="C306">
        <v>8</v>
      </c>
      <c r="D306">
        <v>77259</v>
      </c>
      <c r="E306">
        <f>9657/3</f>
        <v>3219</v>
      </c>
      <c r="G306" t="s">
        <v>16</v>
      </c>
      <c r="H306">
        <v>402</v>
      </c>
      <c r="I306">
        <v>976</v>
      </c>
      <c r="J306">
        <v>6843297</v>
      </c>
      <c r="K306">
        <f>6936/3</f>
        <v>2312</v>
      </c>
    </row>
    <row r="307" spans="1:11" x14ac:dyDescent="0.2">
      <c r="A307" t="s">
        <v>17</v>
      </c>
      <c r="B307">
        <v>5</v>
      </c>
      <c r="C307">
        <v>33</v>
      </c>
      <c r="D307">
        <v>325646</v>
      </c>
      <c r="E307" s="10">
        <f>9868/3</f>
        <v>3289.3333333333335</v>
      </c>
      <c r="G307" t="s">
        <v>17</v>
      </c>
      <c r="H307">
        <v>511</v>
      </c>
      <c r="I307">
        <v>3358</v>
      </c>
      <c r="J307">
        <v>21095750</v>
      </c>
      <c r="K307">
        <f>6326/3</f>
        <v>2108.6666666666665</v>
      </c>
    </row>
    <row r="308" spans="1:11" x14ac:dyDescent="0.2">
      <c r="A308" s="4" t="s">
        <v>61</v>
      </c>
      <c r="B308">
        <v>5</v>
      </c>
      <c r="C308">
        <v>61</v>
      </c>
      <c r="D308">
        <v>575359</v>
      </c>
      <c r="E308">
        <f>9643/3</f>
        <v>3214.3333333333335</v>
      </c>
      <c r="G308" s="4" t="s">
        <v>61</v>
      </c>
      <c r="H308">
        <v>332</v>
      </c>
      <c r="I308">
        <v>4573</v>
      </c>
      <c r="J308">
        <v>36170426</v>
      </c>
      <c r="K308">
        <f>7979/3</f>
        <v>2659.6666666666665</v>
      </c>
    </row>
    <row r="309" spans="1:11" x14ac:dyDescent="0.2">
      <c r="A309" t="s">
        <v>18</v>
      </c>
      <c r="B309">
        <v>7</v>
      </c>
      <c r="C309">
        <v>215</v>
      </c>
      <c r="D309">
        <v>1185422</v>
      </c>
      <c r="E309">
        <f>5454/3</f>
        <v>1818</v>
      </c>
      <c r="G309" t="s">
        <v>18</v>
      </c>
      <c r="H309">
        <v>512</v>
      </c>
      <c r="I309">
        <v>16781</v>
      </c>
      <c r="J309">
        <v>129743138</v>
      </c>
      <c r="K309">
        <f>7787/3</f>
        <v>2595.6666666666665</v>
      </c>
    </row>
    <row r="310" spans="1:11" x14ac:dyDescent="0.2">
      <c r="A310" t="s">
        <v>19</v>
      </c>
      <c r="B310">
        <v>5</v>
      </c>
      <c r="C310">
        <v>373</v>
      </c>
      <c r="D310">
        <v>1928940</v>
      </c>
      <c r="E310">
        <f>5338/3</f>
        <v>1779.3333333333333</v>
      </c>
      <c r="G310" t="s">
        <v>19</v>
      </c>
      <c r="H310">
        <v>612</v>
      </c>
      <c r="I310">
        <v>41807</v>
      </c>
      <c r="J310">
        <v>329797898</v>
      </c>
      <c r="K310">
        <f>7900/3</f>
        <v>2633.3333333333335</v>
      </c>
    </row>
    <row r="311" spans="1:11" x14ac:dyDescent="0.2">
      <c r="A311" t="s">
        <v>20</v>
      </c>
      <c r="B311">
        <v>6</v>
      </c>
      <c r="C311">
        <v>834</v>
      </c>
      <c r="D311">
        <v>3401855</v>
      </c>
      <c r="E311">
        <f>4133/3</f>
        <v>1377.6666666666667</v>
      </c>
      <c r="G311" t="s">
        <v>20</v>
      </c>
      <c r="H311">
        <v>179</v>
      </c>
      <c r="I311">
        <v>25877</v>
      </c>
      <c r="J311">
        <v>196604541</v>
      </c>
      <c r="K311">
        <f>7599/3</f>
        <v>2533</v>
      </c>
    </row>
    <row r="312" spans="1:11" x14ac:dyDescent="0.2">
      <c r="A312" t="s">
        <v>21</v>
      </c>
      <c r="B312">
        <v>7</v>
      </c>
      <c r="C312">
        <v>2676</v>
      </c>
      <c r="D312">
        <v>11081821</v>
      </c>
      <c r="E312">
        <f>4210/3</f>
        <v>1403.3333333333333</v>
      </c>
      <c r="G312" t="s">
        <v>21</v>
      </c>
      <c r="H312">
        <v>31</v>
      </c>
      <c r="I312">
        <v>10682</v>
      </c>
      <c r="J312">
        <v>80083174</v>
      </c>
      <c r="K312">
        <f>7541/3</f>
        <v>2513.6666666666665</v>
      </c>
    </row>
    <row r="313" spans="1:11" x14ac:dyDescent="0.2">
      <c r="A313" t="s">
        <v>23</v>
      </c>
      <c r="B313">
        <v>7</v>
      </c>
      <c r="C313">
        <v>5333</v>
      </c>
      <c r="D313">
        <v>28689379</v>
      </c>
      <c r="E313">
        <f>5470/3</f>
        <v>1823.3333333333333</v>
      </c>
      <c r="G313" t="s">
        <v>23</v>
      </c>
      <c r="H313">
        <v>11</v>
      </c>
      <c r="I313">
        <v>6888</v>
      </c>
      <c r="J313">
        <v>48457633</v>
      </c>
      <c r="K313">
        <f>7130/3</f>
        <v>2376.6666666666665</v>
      </c>
    </row>
    <row r="314" spans="1:11" x14ac:dyDescent="0.2">
      <c r="A314" t="s">
        <v>24</v>
      </c>
      <c r="B314">
        <v>7</v>
      </c>
      <c r="C314">
        <v>27360</v>
      </c>
      <c r="D314">
        <v>285576100</v>
      </c>
      <c r="E314">
        <f>10489/3</f>
        <v>3496.3333333333335</v>
      </c>
      <c r="G314" t="s">
        <v>24</v>
      </c>
      <c r="H314">
        <v>1</v>
      </c>
      <c r="I314">
        <v>5147</v>
      </c>
      <c r="J314">
        <v>43229521</v>
      </c>
      <c r="K314">
        <f>8259/3</f>
        <v>2753</v>
      </c>
    </row>
    <row r="315" spans="1:11" x14ac:dyDescent="0.2">
      <c r="E315" t="s">
        <v>28</v>
      </c>
    </row>
    <row r="317" spans="1:11" x14ac:dyDescent="0.2">
      <c r="B317" s="12"/>
    </row>
    <row r="318" spans="1:11" x14ac:dyDescent="0.2">
      <c r="B318" s="12" t="s">
        <v>52</v>
      </c>
      <c r="H318" s="12" t="s">
        <v>53</v>
      </c>
    </row>
    <row r="320" spans="1:11" x14ac:dyDescent="0.2">
      <c r="A320" s="13"/>
      <c r="B320" s="13"/>
      <c r="C320" s="13"/>
      <c r="D320" s="13" t="s">
        <v>2</v>
      </c>
      <c r="E320" s="13" t="s">
        <v>3</v>
      </c>
      <c r="F320" s="13"/>
      <c r="G320" s="13"/>
      <c r="H320" s="13"/>
      <c r="I320" s="13"/>
      <c r="J320" s="13" t="s">
        <v>2</v>
      </c>
      <c r="K320" s="13" t="s">
        <v>3</v>
      </c>
    </row>
    <row r="321" spans="1:11" x14ac:dyDescent="0.2">
      <c r="A321" s="13" t="s">
        <v>4</v>
      </c>
      <c r="B321" s="13" t="s">
        <v>5</v>
      </c>
      <c r="C321" s="13" t="s">
        <v>6</v>
      </c>
      <c r="D321" s="13" t="s">
        <v>7</v>
      </c>
      <c r="E321" s="13" t="s">
        <v>8</v>
      </c>
      <c r="F321" s="13"/>
      <c r="G321" s="13" t="s">
        <v>4</v>
      </c>
      <c r="H321" s="13" t="s">
        <v>5</v>
      </c>
      <c r="I321" s="13" t="s">
        <v>6</v>
      </c>
      <c r="J321" s="13" t="s">
        <v>7</v>
      </c>
      <c r="K321" s="13" t="s">
        <v>8</v>
      </c>
    </row>
    <row r="322" spans="1:11" s="15" customFormat="1" ht="13.5" thickBot="1" x14ac:dyDescent="0.25">
      <c r="A322" s="14" t="s">
        <v>9</v>
      </c>
      <c r="B322" s="14" t="s">
        <v>10</v>
      </c>
      <c r="C322" s="14" t="s">
        <v>11</v>
      </c>
      <c r="D322" s="14" t="s">
        <v>12</v>
      </c>
      <c r="E322" s="14" t="s">
        <v>13</v>
      </c>
      <c r="F322" s="14"/>
      <c r="G322" s="14" t="s">
        <v>9</v>
      </c>
      <c r="H322" s="14" t="s">
        <v>10</v>
      </c>
      <c r="I322" s="14" t="s">
        <v>11</v>
      </c>
      <c r="J322" s="14" t="s">
        <v>12</v>
      </c>
      <c r="K322" s="14" t="s">
        <v>13</v>
      </c>
    </row>
    <row r="323" spans="1:11" ht="13.5" thickTop="1" x14ac:dyDescent="0.2"/>
    <row r="325" spans="1:11" x14ac:dyDescent="0.2">
      <c r="A325" t="s">
        <v>27</v>
      </c>
      <c r="B325">
        <f>SUM(B327:B335)</f>
        <v>981</v>
      </c>
      <c r="C325">
        <f>SUM(C327:C335)</f>
        <v>67960</v>
      </c>
      <c r="D325" s="5">
        <f>SUM(D327:D335)</f>
        <v>497530056</v>
      </c>
      <c r="E325" s="5">
        <f>7348/3</f>
        <v>2449.3333333333335</v>
      </c>
      <c r="G325" t="s">
        <v>27</v>
      </c>
      <c r="H325">
        <f>SUM(H327:H336)</f>
        <v>76624</v>
      </c>
      <c r="I325">
        <f>SUM(I327:I336)</f>
        <v>950216</v>
      </c>
      <c r="J325" s="5">
        <f>SUM(J327:J336)</f>
        <v>8781091457</v>
      </c>
      <c r="K325" s="5">
        <f>9290/3</f>
        <v>3096.6666666666665</v>
      </c>
    </row>
    <row r="326" spans="1:11" x14ac:dyDescent="0.2">
      <c r="A326" t="s">
        <v>28</v>
      </c>
      <c r="G326" t="s">
        <v>28</v>
      </c>
    </row>
    <row r="327" spans="1:11" x14ac:dyDescent="0.2">
      <c r="A327" s="3">
        <v>0</v>
      </c>
      <c r="B327">
        <v>1</v>
      </c>
      <c r="C327">
        <v>0</v>
      </c>
      <c r="D327">
        <v>0</v>
      </c>
      <c r="E327">
        <v>0</v>
      </c>
      <c r="G327" t="s">
        <v>15</v>
      </c>
      <c r="H327">
        <v>11570</v>
      </c>
      <c r="I327">
        <v>0</v>
      </c>
      <c r="J327">
        <v>48181044</v>
      </c>
      <c r="K327">
        <f>11478/3</f>
        <v>3826</v>
      </c>
    </row>
    <row r="328" spans="1:11" x14ac:dyDescent="0.2">
      <c r="A328" s="4" t="s">
        <v>16</v>
      </c>
      <c r="B328">
        <v>17</v>
      </c>
      <c r="C328">
        <v>48</v>
      </c>
      <c r="D328">
        <v>332114</v>
      </c>
      <c r="E328">
        <f>7016/3</f>
        <v>2338.6666666666665</v>
      </c>
      <c r="G328" t="s">
        <v>16</v>
      </c>
      <c r="H328">
        <v>34390</v>
      </c>
      <c r="I328">
        <v>66135</v>
      </c>
      <c r="J328">
        <v>618484673</v>
      </c>
      <c r="K328">
        <f>9468/3</f>
        <v>3156</v>
      </c>
    </row>
    <row r="329" spans="1:11" x14ac:dyDescent="0.2">
      <c r="A329" t="s">
        <v>17</v>
      </c>
      <c r="B329">
        <v>56</v>
      </c>
      <c r="C329">
        <v>351</v>
      </c>
      <c r="D329">
        <v>1613007</v>
      </c>
      <c r="E329">
        <f>4604/3</f>
        <v>1534.6666666666667</v>
      </c>
      <c r="G329" t="s">
        <v>17</v>
      </c>
      <c r="H329">
        <v>12660</v>
      </c>
      <c r="I329">
        <v>84423</v>
      </c>
      <c r="J329">
        <v>630549123</v>
      </c>
      <c r="K329">
        <f>7574/3</f>
        <v>2524.6666666666665</v>
      </c>
    </row>
    <row r="330" spans="1:11" x14ac:dyDescent="0.2">
      <c r="A330" s="4" t="s">
        <v>61</v>
      </c>
      <c r="B330">
        <v>56</v>
      </c>
      <c r="C330">
        <v>807</v>
      </c>
      <c r="D330">
        <v>6001735</v>
      </c>
      <c r="E330">
        <f>7543/3</f>
        <v>2514.3333333333335</v>
      </c>
      <c r="G330" s="4" t="s">
        <v>61</v>
      </c>
      <c r="H330">
        <v>9071</v>
      </c>
      <c r="I330">
        <v>122134</v>
      </c>
      <c r="J330">
        <v>917930274</v>
      </c>
      <c r="K330">
        <f>7610/3</f>
        <v>2536.6666666666665</v>
      </c>
    </row>
    <row r="331" spans="1:11" x14ac:dyDescent="0.2">
      <c r="A331" t="s">
        <v>18</v>
      </c>
      <c r="B331">
        <v>210</v>
      </c>
      <c r="C331">
        <v>7671</v>
      </c>
      <c r="D331">
        <v>56450791</v>
      </c>
      <c r="E331">
        <f>7385/3</f>
        <v>2461.6666666666665</v>
      </c>
      <c r="G331" t="s">
        <v>18</v>
      </c>
      <c r="H331">
        <v>5722</v>
      </c>
      <c r="I331">
        <v>171624</v>
      </c>
      <c r="J331">
        <v>1429238723</v>
      </c>
      <c r="K331">
        <f>8409/3</f>
        <v>2803</v>
      </c>
    </row>
    <row r="332" spans="1:11" x14ac:dyDescent="0.2">
      <c r="A332" t="s">
        <v>19</v>
      </c>
      <c r="B332">
        <v>503</v>
      </c>
      <c r="C332">
        <v>34182</v>
      </c>
      <c r="D332">
        <v>263911477</v>
      </c>
      <c r="E332">
        <f>7728/3</f>
        <v>2576</v>
      </c>
      <c r="G332" t="s">
        <v>19</v>
      </c>
      <c r="H332">
        <v>1883</v>
      </c>
      <c r="I332">
        <v>129217</v>
      </c>
      <c r="J332">
        <v>1190557721</v>
      </c>
      <c r="K332">
        <f>9311/3</f>
        <v>3103.6666666666665</v>
      </c>
    </row>
    <row r="333" spans="1:11" x14ac:dyDescent="0.2">
      <c r="A333" t="s">
        <v>20</v>
      </c>
      <c r="B333">
        <v>118</v>
      </c>
      <c r="C333">
        <v>16551</v>
      </c>
      <c r="D333">
        <v>128483661</v>
      </c>
      <c r="E333">
        <f>7770/3</f>
        <v>2590</v>
      </c>
      <c r="G333" t="s">
        <v>20</v>
      </c>
      <c r="H333">
        <v>937</v>
      </c>
      <c r="I333">
        <v>137655</v>
      </c>
      <c r="J333">
        <v>1377453865</v>
      </c>
      <c r="K333">
        <f>10070/3</f>
        <v>3356.6666666666665</v>
      </c>
    </row>
    <row r="334" spans="1:11" x14ac:dyDescent="0.2">
      <c r="A334" t="s">
        <v>21</v>
      </c>
      <c r="B334">
        <v>14</v>
      </c>
      <c r="C334">
        <v>4657</v>
      </c>
      <c r="D334">
        <v>26528145</v>
      </c>
      <c r="E334">
        <f>5770/3</f>
        <v>1923.3333333333333</v>
      </c>
      <c r="G334" t="s">
        <v>21</v>
      </c>
      <c r="H334">
        <v>271</v>
      </c>
      <c r="I334">
        <v>94251</v>
      </c>
      <c r="J334">
        <v>986787997</v>
      </c>
      <c r="K334">
        <f>10604/3</f>
        <v>3534.6666666666665</v>
      </c>
    </row>
    <row r="335" spans="1:11" x14ac:dyDescent="0.2">
      <c r="A335" t="s">
        <v>31</v>
      </c>
      <c r="B335">
        <v>6</v>
      </c>
      <c r="C335">
        <v>3693</v>
      </c>
      <c r="D335">
        <v>14209126</v>
      </c>
      <c r="E335">
        <f>3956/3</f>
        <v>1318.6666666666667</v>
      </c>
      <c r="G335" t="s">
        <v>23</v>
      </c>
      <c r="H335">
        <v>77</v>
      </c>
      <c r="I335">
        <v>52623</v>
      </c>
      <c r="J335">
        <v>683200481</v>
      </c>
      <c r="K335">
        <f>13046/3</f>
        <v>4348.666666666667</v>
      </c>
    </row>
    <row r="336" spans="1:11" x14ac:dyDescent="0.2">
      <c r="G336" t="s">
        <v>24</v>
      </c>
      <c r="H336">
        <v>43</v>
      </c>
      <c r="I336">
        <v>92154</v>
      </c>
      <c r="J336">
        <v>898707556</v>
      </c>
      <c r="K336">
        <f>9794/3</f>
        <v>3264.6666666666665</v>
      </c>
    </row>
    <row r="337" spans="1:9" x14ac:dyDescent="0.2">
      <c r="A337" s="23"/>
      <c r="B337" s="23"/>
    </row>
    <row r="338" spans="1:9" x14ac:dyDescent="0.2">
      <c r="A338" s="20" t="s">
        <v>67</v>
      </c>
      <c r="B338" s="20"/>
      <c r="C338" s="20"/>
      <c r="D338" s="20"/>
      <c r="E338" s="20"/>
      <c r="F338" s="20"/>
      <c r="G338" s="20"/>
      <c r="H338" s="20"/>
      <c r="I338" s="20"/>
    </row>
    <row r="374" spans="11:11" x14ac:dyDescent="0.2">
      <c r="K374" s="1"/>
    </row>
    <row r="450" spans="5:5" x14ac:dyDescent="0.2">
      <c r="E450" s="1"/>
    </row>
    <row r="470" spans="5:22" x14ac:dyDescent="0.2">
      <c r="P470">
        <f>+P471+P472+P473+P474+P475+P476+P477+P478+P479+P480</f>
        <v>18442</v>
      </c>
      <c r="Q470">
        <f>+Q471+Q472+Q473+Q474+Q475+Q476+Q477+Q478+Q479+Q480</f>
        <v>259861</v>
      </c>
      <c r="R470">
        <f>+R471+R472+R473+R474+R475+R476+R477+R478+R479+R480</f>
        <v>262970</v>
      </c>
      <c r="S470">
        <f>+S471+S472+S473+S474+S475+S476+S477+S478+S479+S480</f>
        <v>266341</v>
      </c>
      <c r="T470">
        <f>+T471+T472+T473+T474+T475+T476+T477+T478+T479+T480</f>
        <v>1462197844</v>
      </c>
      <c r="U470">
        <f t="shared" ref="U470:U480" si="7">+T470/(Q470+R470+S470)</f>
        <v>1852.8252953728718</v>
      </c>
    </row>
    <row r="471" spans="5:22" x14ac:dyDescent="0.2">
      <c r="E471" s="1"/>
      <c r="O471">
        <v>0</v>
      </c>
      <c r="P471">
        <f>2004+22</f>
        <v>2026</v>
      </c>
      <c r="Q471">
        <f>1472+5</f>
        <v>1477</v>
      </c>
      <c r="R471">
        <f>662+4</f>
        <v>666</v>
      </c>
      <c r="S471">
        <v>0</v>
      </c>
      <c r="T471">
        <v>4123697</v>
      </c>
      <c r="U471">
        <f t="shared" si="7"/>
        <v>1924.2636490900607</v>
      </c>
    </row>
    <row r="472" spans="5:22" x14ac:dyDescent="0.2">
      <c r="O472">
        <v>1</v>
      </c>
      <c r="P472">
        <f>8191+35</f>
        <v>8226</v>
      </c>
      <c r="Q472">
        <f>16684+50</f>
        <v>16734</v>
      </c>
      <c r="R472">
        <f>53+16954</f>
        <v>17007</v>
      </c>
      <c r="S472">
        <f>53+17195</f>
        <v>17248</v>
      </c>
      <c r="T472">
        <v>104604948</v>
      </c>
      <c r="U472">
        <f t="shared" si="7"/>
        <v>2051.5198964482533</v>
      </c>
    </row>
    <row r="473" spans="5:22" x14ac:dyDescent="0.2">
      <c r="O473">
        <v>2</v>
      </c>
      <c r="P473">
        <f>3749+2</f>
        <v>3751</v>
      </c>
      <c r="Q473">
        <f>23377+11</f>
        <v>23388</v>
      </c>
      <c r="R473">
        <f>24069+12</f>
        <v>24081</v>
      </c>
      <c r="S473">
        <f>24779+12</f>
        <v>24791</v>
      </c>
      <c r="T473">
        <v>119209982</v>
      </c>
      <c r="U473">
        <f t="shared" si="7"/>
        <v>1649.7368115139773</v>
      </c>
    </row>
    <row r="474" spans="5:22" x14ac:dyDescent="0.2">
      <c r="O474">
        <v>3</v>
      </c>
      <c r="P474">
        <f>2231+1</f>
        <v>2232</v>
      </c>
      <c r="Q474">
        <f>10+28450</f>
        <v>28460</v>
      </c>
      <c r="R474">
        <f>10+29055</f>
        <v>29065</v>
      </c>
      <c r="S474">
        <f>11+29735</f>
        <v>29746</v>
      </c>
      <c r="T474">
        <f>151544552+296489</f>
        <v>151841041</v>
      </c>
      <c r="U474">
        <f t="shared" si="7"/>
        <v>1739.8796965773281</v>
      </c>
    </row>
    <row r="475" spans="5:22" x14ac:dyDescent="0.2">
      <c r="O475">
        <v>4</v>
      </c>
      <c r="P475">
        <v>1413</v>
      </c>
      <c r="Q475">
        <v>40150</v>
      </c>
      <c r="R475">
        <v>41073</v>
      </c>
      <c r="S475">
        <v>42250</v>
      </c>
      <c r="T475">
        <v>227380711</v>
      </c>
      <c r="U475">
        <f t="shared" si="7"/>
        <v>1841.5419646400428</v>
      </c>
      <c r="V475">
        <f>+U475/(R475+S475+T475)</f>
        <v>8.0959698650206951E-6</v>
      </c>
    </row>
    <row r="476" spans="5:22" x14ac:dyDescent="0.2">
      <c r="O476">
        <v>5</v>
      </c>
      <c r="P476">
        <v>422</v>
      </c>
      <c r="Q476">
        <v>28400</v>
      </c>
      <c r="R476">
        <v>28713</v>
      </c>
      <c r="S476">
        <v>29201</v>
      </c>
      <c r="T476">
        <v>158029792</v>
      </c>
      <c r="U476">
        <f t="shared" si="7"/>
        <v>1830.8709131774683</v>
      </c>
    </row>
    <row r="477" spans="5:22" x14ac:dyDescent="0.2">
      <c r="O477">
        <v>6</v>
      </c>
      <c r="P477">
        <v>266</v>
      </c>
      <c r="Q477">
        <v>38597</v>
      </c>
      <c r="R477">
        <v>39471</v>
      </c>
      <c r="S477">
        <v>40102</v>
      </c>
      <c r="T477">
        <v>226479352</v>
      </c>
      <c r="U477">
        <f t="shared" si="7"/>
        <v>1916.5554032326309</v>
      </c>
    </row>
    <row r="478" spans="5:22" x14ac:dyDescent="0.2">
      <c r="O478">
        <v>7</v>
      </c>
      <c r="P478">
        <v>63</v>
      </c>
      <c r="Q478">
        <v>22315</v>
      </c>
      <c r="R478">
        <v>21863</v>
      </c>
      <c r="S478">
        <v>21748</v>
      </c>
      <c r="T478">
        <v>120411735</v>
      </c>
      <c r="U478">
        <f t="shared" si="7"/>
        <v>1826.4680854291175</v>
      </c>
    </row>
    <row r="479" spans="5:22" x14ac:dyDescent="0.2">
      <c r="O479">
        <v>8</v>
      </c>
      <c r="P479">
        <v>27</v>
      </c>
      <c r="Q479">
        <v>18056</v>
      </c>
      <c r="R479">
        <v>18269</v>
      </c>
      <c r="S479">
        <v>18627</v>
      </c>
      <c r="T479">
        <v>105653226</v>
      </c>
      <c r="U479">
        <f t="shared" si="7"/>
        <v>1922.6456907846848</v>
      </c>
    </row>
    <row r="480" spans="5:22" x14ac:dyDescent="0.2">
      <c r="O480">
        <v>9</v>
      </c>
      <c r="P480">
        <v>16</v>
      </c>
      <c r="Q480">
        <v>42284</v>
      </c>
      <c r="R480">
        <v>42762</v>
      </c>
      <c r="S480">
        <v>42628</v>
      </c>
      <c r="T480">
        <v>244463360</v>
      </c>
      <c r="U480">
        <f t="shared" si="7"/>
        <v>1914.7466202985729</v>
      </c>
    </row>
    <row r="570" spans="11:11" x14ac:dyDescent="0.2">
      <c r="K570" s="2"/>
    </row>
    <row r="641" spans="11:22" x14ac:dyDescent="0.2">
      <c r="Q641" t="s">
        <v>54</v>
      </c>
    </row>
    <row r="644" spans="11:22" x14ac:dyDescent="0.2">
      <c r="Q644">
        <f>Q646+Q647+Q648+Q649+Q650+Q653</f>
        <v>93</v>
      </c>
      <c r="R644">
        <f>R646+R647+R648+R649+R650+R653</f>
        <v>303</v>
      </c>
      <c r="S644">
        <f>S646+S647+S648+S649+S650+S653</f>
        <v>290</v>
      </c>
      <c r="T644">
        <f>T646+T647+T648+T649+T650+T653</f>
        <v>305</v>
      </c>
      <c r="U644">
        <f>U646+U647+U648+U649+U650+U653</f>
        <v>2458043</v>
      </c>
      <c r="V644">
        <f>(+U644/(T644+S644+R644))</f>
        <v>2737.2416481069044</v>
      </c>
    </row>
    <row r="646" spans="11:22" x14ac:dyDescent="0.2">
      <c r="K646" s="1"/>
      <c r="P646">
        <v>0</v>
      </c>
      <c r="Q646">
        <v>17</v>
      </c>
      <c r="R646">
        <v>4</v>
      </c>
      <c r="S646">
        <v>1</v>
      </c>
      <c r="T646">
        <v>0</v>
      </c>
      <c r="U646">
        <v>2799</v>
      </c>
      <c r="V646">
        <f>(+U646/(T646+S646+R646))</f>
        <v>559.79999999999995</v>
      </c>
    </row>
    <row r="647" spans="11:22" x14ac:dyDescent="0.2">
      <c r="P647">
        <v>1</v>
      </c>
      <c r="Q647">
        <v>58</v>
      </c>
      <c r="R647">
        <v>89</v>
      </c>
      <c r="S647">
        <v>85</v>
      </c>
      <c r="T647">
        <v>91</v>
      </c>
      <c r="U647">
        <v>718548</v>
      </c>
      <c r="V647">
        <f>(+U647/(T647+S647+R647))</f>
        <v>2711.5018867924528</v>
      </c>
    </row>
    <row r="648" spans="11:22" x14ac:dyDescent="0.2">
      <c r="P648">
        <v>2</v>
      </c>
      <c r="Q648">
        <v>10</v>
      </c>
      <c r="R648">
        <v>65</v>
      </c>
      <c r="S648">
        <v>60</v>
      </c>
      <c r="T648">
        <v>62</v>
      </c>
      <c r="U648">
        <v>341045</v>
      </c>
      <c r="V648">
        <f>(+U648/(T648+S648+R648))</f>
        <v>1823.7700534759358</v>
      </c>
    </row>
    <row r="649" spans="11:22" x14ac:dyDescent="0.2">
      <c r="P649">
        <v>3</v>
      </c>
      <c r="Q649">
        <v>5</v>
      </c>
      <c r="R649">
        <v>74</v>
      </c>
      <c r="S649">
        <v>71</v>
      </c>
      <c r="T649">
        <v>76</v>
      </c>
      <c r="U649">
        <v>697166</v>
      </c>
      <c r="V649">
        <f>(+U649/(T649+S649+R649))</f>
        <v>3154.5972850678731</v>
      </c>
    </row>
    <row r="650" spans="11:22" x14ac:dyDescent="0.2">
      <c r="P650">
        <v>4</v>
      </c>
      <c r="Q650">
        <v>3</v>
      </c>
      <c r="R650">
        <v>71</v>
      </c>
      <c r="S650">
        <v>73</v>
      </c>
      <c r="T650">
        <v>76</v>
      </c>
      <c r="U650">
        <v>698485</v>
      </c>
      <c r="V650">
        <f>(+U650/(T650+S650+R650))</f>
        <v>3174.931818181818</v>
      </c>
    </row>
    <row r="651" spans="11:22" x14ac:dyDescent="0.2">
      <c r="P651">
        <v>5</v>
      </c>
    </row>
    <row r="652" spans="11:22" x14ac:dyDescent="0.2">
      <c r="P652">
        <v>6</v>
      </c>
    </row>
    <row r="653" spans="11:22" x14ac:dyDescent="0.2">
      <c r="P653">
        <v>7</v>
      </c>
    </row>
    <row r="654" spans="11:22" x14ac:dyDescent="0.2">
      <c r="P654">
        <v>8</v>
      </c>
    </row>
    <row r="655" spans="11:22" x14ac:dyDescent="0.2">
      <c r="P655">
        <v>9</v>
      </c>
    </row>
    <row r="656" spans="11:22" x14ac:dyDescent="0.2">
      <c r="Q656" t="s">
        <v>55</v>
      </c>
    </row>
    <row r="657" spans="16:22" x14ac:dyDescent="0.2">
      <c r="Q657">
        <f>SUM(Q658:Q667)</f>
        <v>654</v>
      </c>
      <c r="R657">
        <f>SUM(R658:R667)</f>
        <v>11957</v>
      </c>
      <c r="S657">
        <f>SUM(S658:S667)</f>
        <v>11952</v>
      </c>
      <c r="T657">
        <f>SUM(T658:T667)</f>
        <v>11967</v>
      </c>
      <c r="U657">
        <f>SUM(U658:U667)</f>
        <v>64399948</v>
      </c>
      <c r="V657">
        <f t="shared" ref="V657:V667" si="8">(+U657/(T657+S657+R657))</f>
        <v>1795.0704649347754</v>
      </c>
    </row>
    <row r="658" spans="16:22" x14ac:dyDescent="0.2">
      <c r="P658">
        <v>0</v>
      </c>
      <c r="Q658">
        <v>35</v>
      </c>
      <c r="R658">
        <v>40</v>
      </c>
      <c r="S658">
        <v>19</v>
      </c>
      <c r="T658">
        <v>0</v>
      </c>
      <c r="U658">
        <v>119213</v>
      </c>
      <c r="V658">
        <f t="shared" si="8"/>
        <v>2020.5593220338983</v>
      </c>
    </row>
    <row r="659" spans="16:22" x14ac:dyDescent="0.2">
      <c r="P659">
        <v>1</v>
      </c>
      <c r="Q659">
        <v>325</v>
      </c>
      <c r="R659">
        <v>698</v>
      </c>
      <c r="S659">
        <v>682</v>
      </c>
      <c r="T659">
        <v>689</v>
      </c>
      <c r="U659">
        <v>3556163</v>
      </c>
      <c r="V659">
        <f t="shared" si="8"/>
        <v>1718.7834702754953</v>
      </c>
    </row>
    <row r="660" spans="16:22" x14ac:dyDescent="0.2">
      <c r="P660">
        <v>2</v>
      </c>
      <c r="Q660">
        <v>151</v>
      </c>
      <c r="R660">
        <v>948</v>
      </c>
      <c r="S660">
        <v>956</v>
      </c>
      <c r="T660">
        <v>979</v>
      </c>
      <c r="U660">
        <v>4768886</v>
      </c>
      <c r="V660">
        <f t="shared" si="8"/>
        <v>1654.1401318071453</v>
      </c>
    </row>
    <row r="661" spans="16:22" x14ac:dyDescent="0.2">
      <c r="P661">
        <v>3</v>
      </c>
      <c r="Q661">
        <v>65</v>
      </c>
      <c r="R661">
        <v>876</v>
      </c>
      <c r="S661">
        <v>858</v>
      </c>
      <c r="T661">
        <v>879</v>
      </c>
      <c r="U661">
        <v>3460240</v>
      </c>
      <c r="V661">
        <f t="shared" si="8"/>
        <v>1324.2403367776501</v>
      </c>
    </row>
    <row r="662" spans="16:22" x14ac:dyDescent="0.2">
      <c r="P662">
        <v>4</v>
      </c>
      <c r="Q662">
        <v>45</v>
      </c>
      <c r="R662">
        <v>1308</v>
      </c>
      <c r="S662">
        <v>1319</v>
      </c>
      <c r="T662">
        <v>1311</v>
      </c>
      <c r="U662">
        <v>6770873</v>
      </c>
      <c r="V662">
        <f t="shared" si="8"/>
        <v>1719.3684611477909</v>
      </c>
    </row>
    <row r="663" spans="16:22" x14ac:dyDescent="0.2">
      <c r="P663">
        <v>5</v>
      </c>
      <c r="Q663">
        <v>17</v>
      </c>
      <c r="R663">
        <v>1245</v>
      </c>
      <c r="S663">
        <v>1273</v>
      </c>
      <c r="T663">
        <v>1257</v>
      </c>
      <c r="U663">
        <v>7122217</v>
      </c>
      <c r="V663">
        <f t="shared" si="8"/>
        <v>1886.68</v>
      </c>
    </row>
    <row r="664" spans="16:22" x14ac:dyDescent="0.2">
      <c r="P664">
        <v>6</v>
      </c>
      <c r="Q664">
        <v>6</v>
      </c>
      <c r="R664">
        <v>956</v>
      </c>
      <c r="S664">
        <v>955</v>
      </c>
      <c r="T664">
        <v>959</v>
      </c>
      <c r="U664">
        <v>4871441</v>
      </c>
      <c r="V664">
        <f t="shared" si="8"/>
        <v>1697.3662020905924</v>
      </c>
    </row>
    <row r="665" spans="16:22" x14ac:dyDescent="0.2">
      <c r="P665">
        <v>7</v>
      </c>
      <c r="Q665">
        <v>7</v>
      </c>
      <c r="R665">
        <v>2456</v>
      </c>
      <c r="S665">
        <v>2469</v>
      </c>
      <c r="T665">
        <v>2453</v>
      </c>
      <c r="U665">
        <v>13141755</v>
      </c>
      <c r="V665">
        <f t="shared" si="8"/>
        <v>1781.2083220384927</v>
      </c>
    </row>
    <row r="666" spans="16:22" x14ac:dyDescent="0.2">
      <c r="P666">
        <v>8</v>
      </c>
      <c r="Q666">
        <v>2</v>
      </c>
      <c r="R666">
        <v>1627</v>
      </c>
      <c r="S666">
        <v>1623</v>
      </c>
      <c r="T666">
        <v>1632</v>
      </c>
      <c r="U666">
        <v>9703593</v>
      </c>
      <c r="V666">
        <f t="shared" si="8"/>
        <v>1987.626587464154</v>
      </c>
    </row>
    <row r="667" spans="16:22" x14ac:dyDescent="0.2">
      <c r="P667">
        <v>9</v>
      </c>
      <c r="Q667">
        <v>1</v>
      </c>
      <c r="R667">
        <v>1803</v>
      </c>
      <c r="S667">
        <v>1798</v>
      </c>
      <c r="T667">
        <v>1808</v>
      </c>
      <c r="U667">
        <v>10885567</v>
      </c>
      <c r="V667">
        <f t="shared" si="8"/>
        <v>2012.4915880939175</v>
      </c>
    </row>
    <row r="669" spans="16:22" x14ac:dyDescent="0.2">
      <c r="Q669" t="s">
        <v>56</v>
      </c>
    </row>
    <row r="671" spans="16:22" x14ac:dyDescent="0.2">
      <c r="Q671">
        <f>SUM(Q672:Q676)</f>
        <v>64</v>
      </c>
      <c r="R671">
        <f>SUM(R672:R676)</f>
        <v>90</v>
      </c>
      <c r="S671">
        <f>SUM(S672:S676)</f>
        <v>92</v>
      </c>
      <c r="T671">
        <f>SUM(T672:T676)</f>
        <v>85</v>
      </c>
      <c r="U671">
        <f>SUM(U672:U676)</f>
        <v>1876202</v>
      </c>
      <c r="V671">
        <f>(+U671/(T671+S671+R671))</f>
        <v>7026.9737827715353</v>
      </c>
    </row>
    <row r="672" spans="16:22" x14ac:dyDescent="0.2">
      <c r="P672">
        <v>0</v>
      </c>
      <c r="Q672">
        <v>16</v>
      </c>
      <c r="R672">
        <v>5</v>
      </c>
      <c r="S672">
        <v>4</v>
      </c>
      <c r="T672">
        <v>0</v>
      </c>
      <c r="U672">
        <v>34309</v>
      </c>
      <c r="V672">
        <f>(+U672/(T672+S672+R672))</f>
        <v>3812.1111111111113</v>
      </c>
    </row>
    <row r="673" spans="16:22" x14ac:dyDescent="0.2">
      <c r="P673">
        <v>1</v>
      </c>
      <c r="Q673">
        <v>43</v>
      </c>
      <c r="R673">
        <v>52</v>
      </c>
      <c r="S673">
        <v>55</v>
      </c>
      <c r="T673">
        <v>53</v>
      </c>
      <c r="U673">
        <v>1511964</v>
      </c>
      <c r="V673">
        <f>(+U673/(T673+S673+R673))</f>
        <v>9449.7749999999996</v>
      </c>
    </row>
    <row r="674" spans="16:22" x14ac:dyDescent="0.2">
      <c r="P674">
        <v>2</v>
      </c>
      <c r="Q674">
        <v>4</v>
      </c>
      <c r="R674">
        <v>23</v>
      </c>
      <c r="S674">
        <v>23</v>
      </c>
      <c r="T674">
        <v>22</v>
      </c>
      <c r="U674">
        <v>170151</v>
      </c>
      <c r="V674">
        <f>(+U674/(T674+S674+R674))</f>
        <v>2502.2205882352941</v>
      </c>
    </row>
    <row r="675" spans="16:22" x14ac:dyDescent="0.2">
      <c r="P675">
        <v>3</v>
      </c>
      <c r="Q675">
        <v>1</v>
      </c>
      <c r="R675">
        <v>10</v>
      </c>
      <c r="S675">
        <v>10</v>
      </c>
      <c r="T675">
        <v>10</v>
      </c>
      <c r="U675">
        <v>159778</v>
      </c>
      <c r="V675">
        <f>(+U675/(T675+S675+R675))</f>
        <v>5325.9333333333334</v>
      </c>
    </row>
    <row r="676" spans="16:22" x14ac:dyDescent="0.2">
      <c r="P676">
        <v>4</v>
      </c>
    </row>
    <row r="679" spans="16:22" x14ac:dyDescent="0.2">
      <c r="Q679" t="s">
        <v>57</v>
      </c>
    </row>
    <row r="680" spans="16:22" x14ac:dyDescent="0.2">
      <c r="P680">
        <v>0</v>
      </c>
      <c r="Q680">
        <f t="shared" ref="Q680:S681" si="9">Q672+Q658+Q646</f>
        <v>68</v>
      </c>
      <c r="R680">
        <f t="shared" si="9"/>
        <v>49</v>
      </c>
      <c r="S680">
        <f t="shared" si="9"/>
        <v>24</v>
      </c>
      <c r="T680">
        <f t="shared" ref="T680:T688" si="10">T646+T658+T672</f>
        <v>0</v>
      </c>
      <c r="U680">
        <f>U672+U658+U646</f>
        <v>156321</v>
      </c>
      <c r="V680">
        <f t="shared" ref="V680:V691" si="11">(+U680/(T680+S680+R680))</f>
        <v>2141.3835616438355</v>
      </c>
    </row>
    <row r="681" spans="16:22" x14ac:dyDescent="0.2">
      <c r="P681">
        <v>1</v>
      </c>
      <c r="Q681">
        <f t="shared" si="9"/>
        <v>426</v>
      </c>
      <c r="R681">
        <f t="shared" si="9"/>
        <v>839</v>
      </c>
      <c r="S681">
        <f t="shared" si="9"/>
        <v>822</v>
      </c>
      <c r="T681">
        <f t="shared" si="10"/>
        <v>833</v>
      </c>
      <c r="U681">
        <f>U673+U659+U647</f>
        <v>5786675</v>
      </c>
      <c r="V681">
        <f t="shared" si="11"/>
        <v>2320.2385725741779</v>
      </c>
    </row>
    <row r="682" spans="16:22" x14ac:dyDescent="0.2">
      <c r="P682">
        <v>2</v>
      </c>
      <c r="Q682">
        <f t="shared" ref="Q682:S684" si="12">Q660+Q648+Q674</f>
        <v>165</v>
      </c>
      <c r="R682">
        <f t="shared" si="12"/>
        <v>1036</v>
      </c>
      <c r="S682">
        <f t="shared" si="12"/>
        <v>1039</v>
      </c>
      <c r="T682">
        <f t="shared" si="10"/>
        <v>1063</v>
      </c>
      <c r="U682">
        <f>U660+U648+U674</f>
        <v>5280082</v>
      </c>
      <c r="V682">
        <f t="shared" si="11"/>
        <v>1682.6265137029955</v>
      </c>
    </row>
    <row r="683" spans="16:22" x14ac:dyDescent="0.2">
      <c r="P683">
        <v>3</v>
      </c>
      <c r="Q683">
        <f t="shared" si="12"/>
        <v>71</v>
      </c>
      <c r="R683">
        <f t="shared" si="12"/>
        <v>960</v>
      </c>
      <c r="S683">
        <f t="shared" si="12"/>
        <v>939</v>
      </c>
      <c r="T683">
        <f t="shared" si="10"/>
        <v>965</v>
      </c>
      <c r="U683">
        <f>U661+U649+U675</f>
        <v>4317184</v>
      </c>
      <c r="V683">
        <f t="shared" si="11"/>
        <v>1507.3966480446927</v>
      </c>
    </row>
    <row r="684" spans="16:22" x14ac:dyDescent="0.2">
      <c r="P684">
        <v>4</v>
      </c>
      <c r="Q684">
        <f t="shared" si="12"/>
        <v>48</v>
      </c>
      <c r="R684">
        <f t="shared" si="12"/>
        <v>1379</v>
      </c>
      <c r="S684">
        <f t="shared" si="12"/>
        <v>1392</v>
      </c>
      <c r="T684">
        <f t="shared" si="10"/>
        <v>1387</v>
      </c>
      <c r="U684">
        <f>U662+U650+U676</f>
        <v>7469358</v>
      </c>
      <c r="V684">
        <f t="shared" si="11"/>
        <v>1796.3823953823953</v>
      </c>
    </row>
    <row r="685" spans="16:22" x14ac:dyDescent="0.2">
      <c r="P685">
        <v>5</v>
      </c>
      <c r="Q685">
        <f t="shared" ref="Q685:S689" si="13">Q663+Q651</f>
        <v>17</v>
      </c>
      <c r="R685">
        <f t="shared" si="13"/>
        <v>1245</v>
      </c>
      <c r="S685">
        <f t="shared" si="13"/>
        <v>1273</v>
      </c>
      <c r="T685">
        <f t="shared" si="10"/>
        <v>1257</v>
      </c>
      <c r="U685">
        <f>U663+U651</f>
        <v>7122217</v>
      </c>
      <c r="V685">
        <f t="shared" si="11"/>
        <v>1886.68</v>
      </c>
    </row>
    <row r="686" spans="16:22" x14ac:dyDescent="0.2">
      <c r="P686">
        <v>6</v>
      </c>
      <c r="Q686">
        <f t="shared" si="13"/>
        <v>6</v>
      </c>
      <c r="R686">
        <f t="shared" si="13"/>
        <v>956</v>
      </c>
      <c r="S686">
        <f t="shared" si="13"/>
        <v>955</v>
      </c>
      <c r="T686">
        <f t="shared" si="10"/>
        <v>959</v>
      </c>
      <c r="U686">
        <f>U664+U652</f>
        <v>4871441</v>
      </c>
      <c r="V686">
        <f t="shared" si="11"/>
        <v>1697.3662020905924</v>
      </c>
    </row>
    <row r="687" spans="16:22" x14ac:dyDescent="0.2">
      <c r="P687">
        <v>7</v>
      </c>
      <c r="Q687">
        <f t="shared" si="13"/>
        <v>7</v>
      </c>
      <c r="R687">
        <f t="shared" si="13"/>
        <v>2456</v>
      </c>
      <c r="S687">
        <f t="shared" si="13"/>
        <v>2469</v>
      </c>
      <c r="T687">
        <f t="shared" si="10"/>
        <v>2453</v>
      </c>
      <c r="U687">
        <f>U665+U653</f>
        <v>13141755</v>
      </c>
      <c r="V687">
        <f t="shared" si="11"/>
        <v>1781.2083220384927</v>
      </c>
    </row>
    <row r="688" spans="16:22" x14ac:dyDescent="0.2">
      <c r="P688">
        <v>8</v>
      </c>
      <c r="Q688">
        <f t="shared" si="13"/>
        <v>2</v>
      </c>
      <c r="R688">
        <f t="shared" si="13"/>
        <v>1627</v>
      </c>
      <c r="S688">
        <f t="shared" si="13"/>
        <v>1623</v>
      </c>
      <c r="T688">
        <f t="shared" si="10"/>
        <v>1632</v>
      </c>
      <c r="U688">
        <f>U666+U654</f>
        <v>9703593</v>
      </c>
      <c r="V688">
        <f t="shared" si="11"/>
        <v>1987.626587464154</v>
      </c>
    </row>
    <row r="689" spans="5:22" x14ac:dyDescent="0.2">
      <c r="P689">
        <v>9</v>
      </c>
      <c r="Q689">
        <f t="shared" si="13"/>
        <v>1</v>
      </c>
      <c r="R689">
        <f t="shared" si="13"/>
        <v>1803</v>
      </c>
      <c r="S689">
        <f t="shared" si="13"/>
        <v>1798</v>
      </c>
      <c r="T689">
        <f>T655+T667</f>
        <v>1808</v>
      </c>
      <c r="U689">
        <f>U667+U655</f>
        <v>10885567</v>
      </c>
      <c r="V689">
        <f t="shared" si="11"/>
        <v>2012.4915880939175</v>
      </c>
    </row>
    <row r="690" spans="5:22" x14ac:dyDescent="0.2">
      <c r="Q690">
        <f>Q689+Q688</f>
        <v>3</v>
      </c>
      <c r="R690">
        <f>R689+R688</f>
        <v>3430</v>
      </c>
      <c r="S690">
        <f>S689+S688</f>
        <v>3421</v>
      </c>
      <c r="T690">
        <f>T689+T688</f>
        <v>3440</v>
      </c>
      <c r="U690">
        <f>U689+U688</f>
        <v>20589160</v>
      </c>
      <c r="V690">
        <f t="shared" si="11"/>
        <v>2000.6957535710815</v>
      </c>
    </row>
    <row r="691" spans="5:22" x14ac:dyDescent="0.2">
      <c r="Q691">
        <f>SUM(Q680:Q689)</f>
        <v>811</v>
      </c>
      <c r="R691">
        <f>SUM(R680:R689)</f>
        <v>12350</v>
      </c>
      <c r="S691">
        <f>SUM(S680:S689)</f>
        <v>12334</v>
      </c>
      <c r="T691">
        <f>SUM(T680:T689)</f>
        <v>12357</v>
      </c>
      <c r="U691">
        <f>SUM(U680:U689)</f>
        <v>68734193</v>
      </c>
      <c r="V691">
        <f t="shared" si="11"/>
        <v>1855.6246591614697</v>
      </c>
    </row>
    <row r="698" spans="5:22" x14ac:dyDescent="0.2">
      <c r="E698" s="1"/>
    </row>
    <row r="720" spans="5:11" x14ac:dyDescent="0.2">
      <c r="E720" s="1"/>
      <c r="K720" s="1"/>
    </row>
    <row r="749" spans="5:5" x14ac:dyDescent="0.2">
      <c r="E749" s="1"/>
    </row>
    <row r="771" spans="5:11" x14ac:dyDescent="0.2">
      <c r="E771" s="1"/>
      <c r="K771" s="1"/>
    </row>
  </sheetData>
  <mergeCells count="13">
    <mergeCell ref="A2:K2"/>
    <mergeCell ref="A95:I95"/>
    <mergeCell ref="A47:I47"/>
    <mergeCell ref="D292:H292"/>
    <mergeCell ref="A338:I338"/>
    <mergeCell ref="D98:H98"/>
    <mergeCell ref="D148:H148"/>
    <mergeCell ref="D197:H197"/>
    <mergeCell ref="D245:H245"/>
    <mergeCell ref="A289:I289"/>
    <mergeCell ref="A240:I240"/>
    <mergeCell ref="A192:I192"/>
    <mergeCell ref="A144:I144"/>
  </mergeCells>
  <phoneticPr fontId="0" type="noConversion"/>
  <pageMargins left="0.75" right="0.75" top="0.55000000000000004" bottom="0.49" header="0.5" footer="0.5"/>
  <pageSetup scale="80" fitToWidth="7" orientation="landscape" horizontalDpi="4000" verticalDpi="4000" r:id="rId1"/>
  <headerFooter alignWithMargins="0"/>
  <rowBreaks count="6" manualBreakCount="6">
    <brk id="47" max="10" man="1"/>
    <brk id="95" max="10" man="1"/>
    <brk id="144" max="10" man="1"/>
    <brk id="192" max="10" man="1"/>
    <brk id="240" max="10" man="1"/>
    <brk id="28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TABLE5</vt:lpstr>
      <vt:lpstr>Chart1</vt:lpstr>
      <vt:lpstr>TABLE5!Print_Area</vt:lpstr>
      <vt:lpstr>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MeLauni Parks Jensen</cp:lastModifiedBy>
  <cp:lastPrinted>2012-02-17T20:23:44Z</cp:lastPrinted>
  <dcterms:created xsi:type="dcterms:W3CDTF">2002-12-20T22:52:14Z</dcterms:created>
  <dcterms:modified xsi:type="dcterms:W3CDTF">2012-02-17T20:23:57Z</dcterms:modified>
</cp:coreProperties>
</file>