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65" windowWidth="11760" windowHeight="2865" activeTab="4"/>
  </bookViews>
  <sheets>
    <sheet name="SALTLAKE" sheetId="1" r:id="rId1"/>
    <sheet name="UTAH CO" sheetId="2" r:id="rId2"/>
    <sheet name="WEBER CO" sheetId="3" r:id="rId3"/>
    <sheet name="DAVIS CO" sheetId="4" r:id="rId4"/>
    <sheet name="CACHE CO" sheetId="5" r:id="rId5"/>
    <sheet name="RURALCITIES" sheetId="6" r:id="rId6"/>
  </sheets>
  <definedNames>
    <definedName name="_xlnm.Print_Area" localSheetId="4">'CACHE CO'!$A$46:$Z$78</definedName>
    <definedName name="_xlnm.Print_Area" localSheetId="3">'DAVIS CO'!$A$45:$Z$91</definedName>
    <definedName name="_xlnm.Print_Area" localSheetId="5">'RURALCITIES'!$O$131:$AA$191</definedName>
    <definedName name="_xlnm.Print_Area" localSheetId="0">'SALTLAKE'!$A$181:$Z$223</definedName>
    <definedName name="_xlnm.Print_Area" localSheetId="1">'UTAH CO'!$A$91:$Z$111</definedName>
    <definedName name="_xlnm.Print_Area" localSheetId="2">'WEBER CO'!$A$46:$Z$89</definedName>
  </definedNames>
  <calcPr fullCalcOnLoad="1"/>
</workbook>
</file>

<file path=xl/sharedStrings.xml><?xml version="1.0" encoding="utf-8"?>
<sst xmlns="http://schemas.openxmlformats.org/spreadsheetml/2006/main" count="1966" uniqueCount="203">
  <si>
    <t/>
  </si>
  <si>
    <t>BEAVER</t>
  </si>
  <si>
    <t>BLANDING</t>
  </si>
  <si>
    <t>BRIGHAM CITY</t>
  </si>
  <si>
    <t>CASTLE DALE</t>
  </si>
  <si>
    <t>CEDAR CITY</t>
  </si>
  <si>
    <t>COALVILLE</t>
  </si>
  <si>
    <t xml:space="preserve">  Mining</t>
  </si>
  <si>
    <t xml:space="preserve"> Construction</t>
  </si>
  <si>
    <t xml:space="preserve"> Manufacturing</t>
  </si>
  <si>
    <t>DUCHESNE</t>
  </si>
  <si>
    <t>EPHRAIM</t>
  </si>
  <si>
    <t>ESCALANTE</t>
  </si>
  <si>
    <t>DAVIS COUNTY</t>
  </si>
  <si>
    <t>SALT LAKE COUNTY</t>
  </si>
  <si>
    <t>OLYMPUS</t>
  </si>
  <si>
    <t>UTAH COUNTY</t>
  </si>
  <si>
    <t>WEBER COUNTY</t>
  </si>
  <si>
    <t xml:space="preserve">  Avg. No. of Firms</t>
  </si>
  <si>
    <t>FILLMORE</t>
  </si>
  <si>
    <t xml:space="preserve">  Avg. Employment</t>
  </si>
  <si>
    <t xml:space="preserve">  Total Wages  ($)</t>
  </si>
  <si>
    <t>GRANTSVILLE</t>
  </si>
  <si>
    <t xml:space="preserve">  Avg. Monthly Wage ($)</t>
  </si>
  <si>
    <t>GREEN RIVER</t>
  </si>
  <si>
    <t>GUNNISON</t>
  </si>
  <si>
    <t>SUNSET-SYRACUSE</t>
  </si>
  <si>
    <t>COPPERTON</t>
  </si>
  <si>
    <t>UNIVERSITY</t>
  </si>
  <si>
    <t>AMERICAN FORK</t>
  </si>
  <si>
    <t>ROY</t>
  </si>
  <si>
    <t>HEBER CITY</t>
  </si>
  <si>
    <t>D</t>
  </si>
  <si>
    <t>HELPER</t>
  </si>
  <si>
    <t>HUNTINGTON</t>
  </si>
  <si>
    <t>HURRICANE</t>
  </si>
  <si>
    <t>KAMAS</t>
  </si>
  <si>
    <t>CLEARFIELD-So. WEBER</t>
  </si>
  <si>
    <t>DRAPER</t>
  </si>
  <si>
    <t>SOUTH STATE</t>
  </si>
  <si>
    <t>LEHI &amp; CEDAR FORT</t>
  </si>
  <si>
    <t>EAST VALLEY</t>
  </si>
  <si>
    <t>KANAB</t>
  </si>
  <si>
    <t>LOA</t>
  </si>
  <si>
    <t>MANILA</t>
  </si>
  <si>
    <t>MANTI</t>
  </si>
  <si>
    <t>KAYSVILLE</t>
  </si>
  <si>
    <t>TAYLORSVILLE</t>
  </si>
  <si>
    <t>SOUTH SALT LAKE</t>
  </si>
  <si>
    <t>PLEASANT GROVE</t>
  </si>
  <si>
    <t>WEST VALLEY</t>
  </si>
  <si>
    <t>MOAB</t>
  </si>
  <si>
    <t>MORGAN CITY</t>
  </si>
  <si>
    <t>NEPHI</t>
  </si>
  <si>
    <t>PANGUITCH</t>
  </si>
  <si>
    <t>LAYTON</t>
  </si>
  <si>
    <t>MAGNA</t>
  </si>
  <si>
    <t>ROSE PARK</t>
  </si>
  <si>
    <t>PROVO</t>
  </si>
  <si>
    <t>OGDEN</t>
  </si>
  <si>
    <t>PARK CITY</t>
  </si>
  <si>
    <t xml:space="preserve">  </t>
  </si>
  <si>
    <t xml:space="preserve"> </t>
  </si>
  <si>
    <t>PAROWAN</t>
  </si>
  <si>
    <t>PRICE</t>
  </si>
  <si>
    <t>RANDOLPH</t>
  </si>
  <si>
    <t>RICHFIELD</t>
  </si>
  <si>
    <t>RICHMOND</t>
  </si>
  <si>
    <t>BOUNTIFUL</t>
  </si>
  <si>
    <t>MIDVALE</t>
  </si>
  <si>
    <t>AIRPORT</t>
  </si>
  <si>
    <t>OREM</t>
  </si>
  <si>
    <t xml:space="preserve">  NW OGDEN</t>
  </si>
  <si>
    <t>ROOSEVELT</t>
  </si>
  <si>
    <t>SALINA</t>
  </si>
  <si>
    <t>SIGURD</t>
  </si>
  <si>
    <t>SMITHFIELD</t>
  </si>
  <si>
    <t>SUNNYSIDE</t>
  </si>
  <si>
    <t xml:space="preserve">  VAL VERDA</t>
  </si>
  <si>
    <t>RIVERTON</t>
  </si>
  <si>
    <t>HOLLADAY</t>
  </si>
  <si>
    <t>PAYSON</t>
  </si>
  <si>
    <t xml:space="preserve">  SW OGDEN</t>
  </si>
  <si>
    <t>DELTA/1</t>
  </si>
  <si>
    <t>TOOELE CITY</t>
  </si>
  <si>
    <t>TREMONTON</t>
  </si>
  <si>
    <t>VERNAL</t>
  </si>
  <si>
    <t>WENDOVER</t>
  </si>
  <si>
    <t>CENTERVILLE</t>
  </si>
  <si>
    <t>SANDY</t>
  </si>
  <si>
    <t>KEARNS</t>
  </si>
  <si>
    <t>D/  Not shown to avoid disclosure of individual firm data.</t>
  </si>
  <si>
    <t xml:space="preserve">  E OGDEN</t>
  </si>
  <si>
    <t>1/ Begining with 1993 data, IPP is now included with Delta.</t>
  </si>
  <si>
    <t>Government</t>
  </si>
  <si>
    <t>SALEM</t>
  </si>
  <si>
    <t>FARMINGTON</t>
  </si>
  <si>
    <t>WEST JORDAN</t>
  </si>
  <si>
    <t>SANTAQUIN</t>
  </si>
  <si>
    <t>SOUTH VALLEY</t>
  </si>
  <si>
    <t xml:space="preserve">          </t>
  </si>
  <si>
    <t>NORTH SALT LAKE</t>
  </si>
  <si>
    <t>DOWNTOWN</t>
  </si>
  <si>
    <t>SPANISH FORK</t>
  </si>
  <si>
    <t xml:space="preserve">  SE OGDEN</t>
  </si>
  <si>
    <t>WOODS CROSS</t>
  </si>
  <si>
    <t>EAST SIDE</t>
  </si>
  <si>
    <t>SPRINGVILLE</t>
  </si>
  <si>
    <t>NORTH VALLEY</t>
  </si>
  <si>
    <t>EUREKA</t>
  </si>
  <si>
    <t xml:space="preserve">  Total Wages ($)</t>
  </si>
  <si>
    <t>AVENUES</t>
  </si>
  <si>
    <t xml:space="preserve">  N OGDEN</t>
  </si>
  <si>
    <t>WEST SIDE</t>
  </si>
  <si>
    <t xml:space="preserve">1/  Salt Lake City includes Downtown, East Side, Avenues, University, East Bench, Sugar House, South State, and various other areas, and </t>
  </si>
  <si>
    <t xml:space="preserve">    therefore, will not add to County total.</t>
  </si>
  <si>
    <t>SUGARHOUSE</t>
  </si>
  <si>
    <t>MURRAY</t>
  </si>
  <si>
    <t>EAST BENCH</t>
  </si>
  <si>
    <t>MONTICELLO</t>
  </si>
  <si>
    <t>MT. PLEASANT</t>
  </si>
  <si>
    <t>ST. GEORGE</t>
  </si>
  <si>
    <t>WASHINGTON</t>
  </si>
  <si>
    <t xml:space="preserve"> Avg. Monthly Wage ($)</t>
  </si>
  <si>
    <t>Trade,</t>
  </si>
  <si>
    <t>&amp; Utilities</t>
  </si>
  <si>
    <t>Information</t>
  </si>
  <si>
    <t>Activities</t>
  </si>
  <si>
    <t>Financial</t>
  </si>
  <si>
    <t>Professional &amp;</t>
  </si>
  <si>
    <t>Business Svcs</t>
  </si>
  <si>
    <t>Education &amp;</t>
  </si>
  <si>
    <t>Health Svcs</t>
  </si>
  <si>
    <t>Leisure &amp;</t>
  </si>
  <si>
    <t>Hospitaltiy</t>
  </si>
  <si>
    <t>Other Services</t>
  </si>
  <si>
    <t>Service Producing</t>
  </si>
  <si>
    <t xml:space="preserve">   Good Producing</t>
  </si>
  <si>
    <t xml:space="preserve">Goods &amp; Service </t>
  </si>
  <si>
    <t>Producing</t>
  </si>
  <si>
    <t xml:space="preserve">Other </t>
  </si>
  <si>
    <t xml:space="preserve"> Services</t>
  </si>
  <si>
    <t>Other</t>
  </si>
  <si>
    <t>Totals</t>
  </si>
  <si>
    <t>PreMining</t>
  </si>
  <si>
    <t>PreConst</t>
  </si>
  <si>
    <t>PreManufact</t>
  </si>
  <si>
    <t>PreTT&amp;U</t>
  </si>
  <si>
    <t>PreInformation</t>
  </si>
  <si>
    <t>PreFinance</t>
  </si>
  <si>
    <t>PreProf/Bus</t>
  </si>
  <si>
    <t>PreEd/Health</t>
  </si>
  <si>
    <t>PreLeisure</t>
  </si>
  <si>
    <t>PreOther</t>
  </si>
  <si>
    <t>PreGov</t>
  </si>
  <si>
    <t>PreStateTot</t>
  </si>
  <si>
    <t>WEST BOUNTIFUL</t>
  </si>
  <si>
    <t>SOUTH JORDAN</t>
  </si>
  <si>
    <t>COTTONWOOD</t>
  </si>
  <si>
    <t>BLUFFDALE</t>
  </si>
  <si>
    <t>LINDON</t>
  </si>
  <si>
    <t>SALT LAKE CITY1</t>
  </si>
  <si>
    <t xml:space="preserve">TABLE 18. (Cont.) NONAGRICULTURAL EMPLOYMENT AND WAGES IN UTAH BY </t>
  </si>
  <si>
    <t>MILFORD &amp; MINERSVILLE</t>
  </si>
  <si>
    <t>WELLINGTON</t>
  </si>
  <si>
    <t>GARDEN CITY &amp; LAKETOWN</t>
  </si>
  <si>
    <t>FAIRVIEW</t>
  </si>
  <si>
    <t>MIDWAY</t>
  </si>
  <si>
    <t>SANTA CLARA</t>
  </si>
  <si>
    <t>LAVERKIN &amp; TOQUERVILLE</t>
  </si>
  <si>
    <t>CACHE COUNTY</t>
  </si>
  <si>
    <t>HYDE PARK</t>
  </si>
  <si>
    <t>HYRUM &amp; PARADISE</t>
  </si>
  <si>
    <t>LEWISTON &amp; CORNISH</t>
  </si>
  <si>
    <t>LOGAN</t>
  </si>
  <si>
    <t>MILLVILLE &amp; NIBLEY</t>
  </si>
  <si>
    <t>PROVIDENCE &amp; RIVER HGT</t>
  </si>
  <si>
    <t>WELLSVILLE</t>
  </si>
  <si>
    <t>Pre-totals</t>
  </si>
  <si>
    <t>Formulas</t>
  </si>
  <si>
    <t>HIGHLAND</t>
  </si>
  <si>
    <t>MAPLETON</t>
  </si>
  <si>
    <t>total bottom</t>
  </si>
  <si>
    <t>D/  Not shown to avoid disclosure of individual firm data, therefore, will not add to City or County total.</t>
  </si>
  <si>
    <t>Total</t>
  </si>
  <si>
    <t>County and City</t>
  </si>
  <si>
    <t>City</t>
  </si>
  <si>
    <t>Transp.</t>
  </si>
  <si>
    <t>TABLE 18.  NONAGRICULTURAL EMPLOYMENT AND WAGES IN UTAH BY COMMUNITY</t>
  </si>
  <si>
    <t xml:space="preserve">                 SALT LAKE COUNTY, 2002</t>
  </si>
  <si>
    <t>TABLE 18. NONAGRICULTURAL EMPLOYMENT AND WAGES IN UTAH BY COMMUNITY</t>
  </si>
  <si>
    <t xml:space="preserve">              DAVIS COUNTY, 2002</t>
  </si>
  <si>
    <t>TABLE 18.  NONAGRICULTURAL EMPLOYMENT AND WAGES IN UTAH</t>
  </si>
  <si>
    <t>BY SELECTED RURAL CITIES, 2002</t>
  </si>
  <si>
    <t>TABLE 18.  (cont.)  NONAGRICULTURAL EMPLOYMENT AND WAGES IN UTAH</t>
  </si>
  <si>
    <t>(cont.)  NONAGRICULTURAL EMPLOYMENT AND WAGES IN UTAH BY COMMUNITY</t>
  </si>
  <si>
    <t>TABLE 18.  (cont.)  NONAGRICULTURAL EMPLOYMENT AND WAGES IN UTAH BY COMMUNITY</t>
  </si>
  <si>
    <t>TABLE 18.  (cont.)  NONAGRICULTURAL EMPLOYMENT AND WAGES IN UTAH COMMUNITY</t>
  </si>
  <si>
    <t>SELECTED RURAL CITIES, 2002</t>
  </si>
  <si>
    <t xml:space="preserve">               WEBER COUNTY, 2003</t>
  </si>
  <si>
    <t xml:space="preserve">              UTAH COUNTY, 2006</t>
  </si>
  <si>
    <t xml:space="preserve">           CACHE COUNTY, 2006</t>
  </si>
  <si>
    <t xml:space="preserve">                 CACHE COUNTY,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</si>
</sst>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#,##0.0000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0">
    <xf numFmtId="3" fontId="0" fillId="0" borderId="0" xfId="0" applyAlignment="1">
      <alignment/>
    </xf>
    <xf numFmtId="3" fontId="3" fillId="0" borderId="0" xfId="0" applyFont="1" applyAlignment="1">
      <alignment/>
    </xf>
    <xf numFmtId="3" fontId="3" fillId="0" borderId="0" xfId="0" applyFont="1" applyAlignment="1">
      <alignment horizontal="center"/>
    </xf>
    <xf numFmtId="3" fontId="3" fillId="0" borderId="0" xfId="0" applyFont="1" applyAlignment="1">
      <alignment horizontal="right"/>
    </xf>
    <xf numFmtId="165" fontId="0" fillId="0" borderId="0" xfId="0" applyNumberFormat="1" applyAlignment="1">
      <alignment/>
    </xf>
    <xf numFmtId="3" fontId="3" fillId="0" borderId="0" xfId="0" applyFont="1" applyAlignment="1">
      <alignment/>
    </xf>
    <xf numFmtId="3" fontId="4" fillId="0" borderId="0" xfId="0" applyFont="1" applyAlignment="1">
      <alignment/>
    </xf>
    <xf numFmtId="3" fontId="3" fillId="0" borderId="0" xfId="0" applyFont="1" applyAlignment="1">
      <alignment horizontal="right"/>
    </xf>
    <xf numFmtId="3" fontId="5" fillId="0" borderId="0" xfId="0" applyFont="1" applyAlignment="1">
      <alignment/>
    </xf>
    <xf numFmtId="3" fontId="6" fillId="0" borderId="0" xfId="0" applyFont="1" applyAlignment="1">
      <alignment/>
    </xf>
    <xf numFmtId="3" fontId="7" fillId="0" borderId="0" xfId="0" applyFont="1" applyAlignment="1">
      <alignment/>
    </xf>
    <xf numFmtId="3" fontId="8" fillId="0" borderId="0" xfId="0" applyFont="1" applyAlignment="1">
      <alignment/>
    </xf>
    <xf numFmtId="3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9" fillId="0" borderId="0" xfId="0" applyFont="1" applyAlignment="1">
      <alignment/>
    </xf>
    <xf numFmtId="3" fontId="8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12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61">
      <selection activeCell="F178" sqref="F178"/>
    </sheetView>
  </sheetViews>
  <sheetFormatPr defaultColWidth="9.140625" defaultRowHeight="12.75"/>
  <cols>
    <col min="3" max="3" width="13.28125" style="0" hidden="1" customWidth="1"/>
    <col min="4" max="4" width="13.00390625" style="0" customWidth="1"/>
    <col min="5" max="5" width="11.140625" style="10" hidden="1" customWidth="1"/>
    <col min="6" max="6" width="10.57421875" style="0" customWidth="1"/>
    <col min="7" max="7" width="13.00390625" style="10" hidden="1" customWidth="1"/>
    <col min="8" max="8" width="12.421875" style="0" customWidth="1"/>
    <col min="9" max="9" width="12.421875" style="10" hidden="1" customWidth="1"/>
    <col min="10" max="10" width="12.8515625" style="0" customWidth="1"/>
    <col min="11" max="11" width="13.140625" style="10" hidden="1" customWidth="1"/>
    <col min="12" max="12" width="11.7109375" style="0" customWidth="1"/>
    <col min="13" max="13" width="12.00390625" style="10" hidden="1" customWidth="1"/>
    <col min="14" max="14" width="10.140625" style="0" customWidth="1"/>
    <col min="15" max="15" width="12.57421875" style="10" hidden="1" customWidth="1"/>
    <col min="16" max="16" width="11.28125" style="0" customWidth="1"/>
    <col min="17" max="17" width="12.421875" style="10" hidden="1" customWidth="1"/>
    <col min="18" max="18" width="11.140625" style="0" customWidth="1"/>
    <col min="19" max="19" width="13.00390625" style="10" hidden="1" customWidth="1"/>
    <col min="20" max="20" width="10.7109375" style="0" customWidth="1"/>
    <col min="21" max="21" width="11.28125" style="10" hidden="1" customWidth="1"/>
    <col min="22" max="22" width="11.00390625" style="0" customWidth="1"/>
    <col min="23" max="23" width="11.421875" style="10" hidden="1" customWidth="1"/>
    <col min="24" max="24" width="10.421875" style="0" customWidth="1"/>
    <col min="25" max="25" width="12.7109375" style="10" hidden="1" customWidth="1"/>
    <col min="26" max="26" width="11.28125" style="0" customWidth="1"/>
    <col min="27" max="27" width="14.421875" style="0" customWidth="1"/>
  </cols>
  <sheetData>
    <row r="1" spans="12:26" ht="12.75">
      <c r="L1" s="1" t="s">
        <v>188</v>
      </c>
      <c r="R1" s="1"/>
      <c r="Z1" s="1"/>
    </row>
    <row r="2" spans="14:26" ht="12.75">
      <c r="N2" s="1" t="s">
        <v>189</v>
      </c>
      <c r="Z2" s="1"/>
    </row>
    <row r="3" spans="14:26" ht="12.75">
      <c r="N3" s="1"/>
      <c r="Z3" s="1"/>
    </row>
    <row r="4" spans="1:26" ht="12.75">
      <c r="A4" s="1"/>
      <c r="B4" s="1"/>
      <c r="C4" s="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"/>
      <c r="D5" s="2"/>
      <c r="E5" s="11"/>
      <c r="F5" s="1"/>
      <c r="G5" s="11"/>
      <c r="H5" s="1"/>
      <c r="I5" s="11"/>
      <c r="J5" s="1"/>
      <c r="K5" s="11"/>
      <c r="L5" s="1" t="s">
        <v>124</v>
      </c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"/>
      <c r="D6" s="1"/>
      <c r="E6" s="11"/>
      <c r="F6" s="1"/>
      <c r="G6" s="11"/>
      <c r="H6" s="1"/>
      <c r="I6" s="11"/>
      <c r="J6" s="1"/>
      <c r="K6" s="11"/>
      <c r="L6" s="1" t="s">
        <v>187</v>
      </c>
      <c r="M6" s="11"/>
      <c r="N6" s="1"/>
      <c r="O6" s="11"/>
      <c r="P6" s="2" t="s">
        <v>128</v>
      </c>
      <c r="Q6" s="12"/>
      <c r="R6" s="1" t="s">
        <v>129</v>
      </c>
      <c r="S6" s="11"/>
      <c r="T6" s="2" t="s">
        <v>131</v>
      </c>
      <c r="U6" s="12"/>
      <c r="V6" s="2" t="s">
        <v>133</v>
      </c>
      <c r="W6" s="12"/>
      <c r="X6" s="2" t="s">
        <v>140</v>
      </c>
      <c r="Y6" s="12"/>
      <c r="Z6" s="1"/>
    </row>
    <row r="7" spans="1:26" ht="12.75">
      <c r="A7" s="1" t="s">
        <v>185</v>
      </c>
      <c r="B7" s="1"/>
      <c r="C7" s="1"/>
      <c r="D7" s="2" t="s">
        <v>184</v>
      </c>
      <c r="E7" s="12" t="s">
        <v>144</v>
      </c>
      <c r="F7" s="2" t="s">
        <v>7</v>
      </c>
      <c r="G7" s="11" t="s">
        <v>145</v>
      </c>
      <c r="H7" s="1" t="s">
        <v>8</v>
      </c>
      <c r="I7" s="11" t="s">
        <v>146</v>
      </c>
      <c r="J7" s="2" t="s">
        <v>9</v>
      </c>
      <c r="K7" s="11" t="s">
        <v>147</v>
      </c>
      <c r="L7" s="1" t="s">
        <v>125</v>
      </c>
      <c r="M7" s="11" t="s">
        <v>148</v>
      </c>
      <c r="N7" s="2" t="s">
        <v>126</v>
      </c>
      <c r="O7" s="12" t="s">
        <v>149</v>
      </c>
      <c r="P7" s="2" t="s">
        <v>127</v>
      </c>
      <c r="Q7" s="12" t="s">
        <v>150</v>
      </c>
      <c r="R7" s="1" t="s">
        <v>130</v>
      </c>
      <c r="S7" s="11" t="s">
        <v>151</v>
      </c>
      <c r="T7" s="2" t="s">
        <v>132</v>
      </c>
      <c r="U7" s="12" t="s">
        <v>152</v>
      </c>
      <c r="V7" s="2" t="s">
        <v>134</v>
      </c>
      <c r="W7" s="12" t="s">
        <v>153</v>
      </c>
      <c r="X7" s="2" t="s">
        <v>141</v>
      </c>
      <c r="Y7" s="12" t="s">
        <v>154</v>
      </c>
      <c r="Z7" s="2" t="s">
        <v>94</v>
      </c>
    </row>
    <row r="8" spans="1:26" ht="12.75">
      <c r="A8" s="1"/>
      <c r="B8" s="1"/>
      <c r="C8" s="1"/>
      <c r="D8" s="2"/>
      <c r="E8" s="13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8" t="s">
        <v>14</v>
      </c>
      <c r="B9" s="1"/>
      <c r="C9" s="1" t="s">
        <v>155</v>
      </c>
      <c r="D9" s="1"/>
      <c r="E9" s="11" t="s">
        <v>182</v>
      </c>
      <c r="F9" s="1"/>
      <c r="G9" s="11" t="s">
        <v>182</v>
      </c>
      <c r="H9" s="1"/>
      <c r="I9" s="11" t="s">
        <v>182</v>
      </c>
      <c r="J9" s="1"/>
      <c r="K9" s="11" t="s">
        <v>182</v>
      </c>
      <c r="L9" s="1"/>
      <c r="M9" s="11" t="s">
        <v>182</v>
      </c>
      <c r="N9" s="1"/>
      <c r="O9" s="11" t="s">
        <v>182</v>
      </c>
      <c r="P9" s="1"/>
      <c r="Q9" s="11" t="s">
        <v>182</v>
      </c>
      <c r="R9" s="1"/>
      <c r="S9" s="11" t="s">
        <v>182</v>
      </c>
      <c r="T9" s="1"/>
      <c r="U9" s="11" t="s">
        <v>182</v>
      </c>
      <c r="V9" s="1"/>
      <c r="W9" s="11" t="s">
        <v>182</v>
      </c>
      <c r="X9" s="1"/>
      <c r="Y9" s="11" t="s">
        <v>182</v>
      </c>
      <c r="Z9" s="1"/>
    </row>
    <row r="10" spans="1:27" ht="12.75">
      <c r="A10" s="1" t="s">
        <v>18</v>
      </c>
      <c r="B10" s="1"/>
      <c r="C10" s="1">
        <f aca="true" t="shared" si="0" ref="C10:D12">+E10+G10+I10+K10+M10+O10+Q10+S10+U10+W10+Y10</f>
        <v>24951</v>
      </c>
      <c r="D10" s="1">
        <f t="shared" si="0"/>
        <v>31722</v>
      </c>
      <c r="E10" s="1">
        <f>+E16+E22+E28+E34+E40+E55+E61+E67+E73+E79+E85+E100+E106+E112+E118+E124+E130+E145+E151+E157+E163+E169+E175+E190+E196+E202+E208</f>
        <v>36</v>
      </c>
      <c r="F10" s="1">
        <v>67</v>
      </c>
      <c r="G10" s="1">
        <f>+G16+G22+G28+G34+G40+G55+G61+G67+G73+G79+G85+G100+G106+G112+G118+G124+G130+G145+G151+G157+G163+G169+G175+G190+G196+G202+G208</f>
        <v>2561</v>
      </c>
      <c r="H10" s="1">
        <v>4016</v>
      </c>
      <c r="I10" s="1">
        <f>+I16+I22+I28+I34+I40+I55+I61+I67+I73+I79+I85+I100+I106+I112+I118+I124+I130+I145+I151+I157+I163+I169+I175+I190+I196+I202+I208</f>
        <v>1499</v>
      </c>
      <c r="J10" s="1">
        <v>1660</v>
      </c>
      <c r="K10" s="1">
        <f>+K16+K22+K28+K34+K40+K55+K61+K67+K73+K79+K85+K100+K106+K112+K118+K124+K130+K145+K151+K157+K163+K169+K175+K190+K196+K202+K208</f>
        <v>5751</v>
      </c>
      <c r="L10" s="1">
        <v>7892</v>
      </c>
      <c r="M10" s="1">
        <f>+M16+M22+M28+M34+M40+M55+M61+M67+M73+M79+M85+M100+M106+M112+M118+M124+M130+M145+M151+M157+M163+M169+M175+M190+M196+M202+M208</f>
        <v>598</v>
      </c>
      <c r="N10" s="1">
        <v>859</v>
      </c>
      <c r="O10" s="1">
        <f>+O16+O22+O28+O34+O40+O55+O61+O67+O73+O79+O85+O100+O106+O112+O118+O124+O130+O145+O151+O157+O163+O169+O175+O190+O196+O202+O208</f>
        <v>3212</v>
      </c>
      <c r="P10" s="1">
        <v>3713</v>
      </c>
      <c r="Q10" s="1">
        <f>+Q16+Q22+Q28+Q34+Q40+Q55+Q61+Q67+Q73+Q79+Q85+Q100+Q106+Q112+Q118+Q124+Q130+Q145+Q151+Q157+Q163+Q169+Q175+Q190+Q196+Q202+Q208</f>
        <v>4707</v>
      </c>
      <c r="R10" s="1">
        <v>6246</v>
      </c>
      <c r="S10" s="1">
        <f>+S16+S22+S28+S34+S40+S55+S61+S67+S73+S79+S85+S100+S106+S112+S118+S124+S130+S145+S151+S157+S163+S169+S175+S190+S196+S202+S208</f>
        <v>2317</v>
      </c>
      <c r="T10" s="1">
        <v>2530</v>
      </c>
      <c r="U10" s="1">
        <f>+U16+U22+U28+U34+U40+U55+U61+U67+U73+U79+U85+U100+U106+U112+U118+U124+U130+U145+U151+U157+U163+U169+U175+U190+U196+U202+U208</f>
        <v>1846</v>
      </c>
      <c r="V10" s="1">
        <v>2030</v>
      </c>
      <c r="W10" s="1">
        <f>+W16+W22+W28+W34+W40+W55+W61+W67+W73+W79+W85+W100+W106+W112+W118+W124+W130+W145+W151+W157+W163+W169+W175+W190+W196+W202+W208</f>
        <v>1830</v>
      </c>
      <c r="X10" s="1">
        <v>2062</v>
      </c>
      <c r="Y10" s="1">
        <f>+Y16+Y22+Y28+Y34+Y40+Y55+Y61+Y67+Y73+Y79+Y85+Y100+Y106+Y112+Y118+Y124+Y130+Y145+Y151+Y157+Y163+Y169+Y175+Y190+Y196+Y202+Y208</f>
        <v>594</v>
      </c>
      <c r="Z10" s="1">
        <v>647</v>
      </c>
      <c r="AA10" s="1">
        <f>+F10+H10+J10+L10+N10+P10+R10+T10+V10+X10+Z10</f>
        <v>31722</v>
      </c>
    </row>
    <row r="11" spans="1:27" ht="12.75">
      <c r="A11" s="1" t="s">
        <v>20</v>
      </c>
      <c r="B11" s="1"/>
      <c r="C11" s="1">
        <f t="shared" si="0"/>
        <v>482269</v>
      </c>
      <c r="D11" s="1">
        <f t="shared" si="0"/>
        <v>533720</v>
      </c>
      <c r="E11" s="1">
        <f>+E17+E23+E29+E35+E41+E56+E62+E68+E74+E80+E86+E101+E107+E113+E119+E125+E131+E146+E152+E158+E164+E170+E176+E191+E197+E203+E209</f>
        <v>1620</v>
      </c>
      <c r="F11" s="1">
        <v>1873</v>
      </c>
      <c r="G11" s="1">
        <f>+G17+G23+G29+G35+G41+G56+G62+G68+G74+G80+G86+G101+G107+G113+G119+G125+G131+G146+G152+G158+G164+G170+G176+G191+G197+G203+G209</f>
        <v>23636</v>
      </c>
      <c r="H11" s="1">
        <v>30529</v>
      </c>
      <c r="I11" s="1">
        <f>+I17+I23+I29+I35+I41+I56+I62+I68+I74+I80+I86+I101+I107+I113+I119+I125+I131+I146+I152+I158+I164+I170+I176+I191+I197+I203+I209</f>
        <v>48168</v>
      </c>
      <c r="J11" s="1">
        <v>49761</v>
      </c>
      <c r="K11" s="1">
        <f>+K17+K23+K29+K35+K41+K56+K62+K68+K74+K80+K86+K101+K107+K113+K119+K125+K131+K146+K152+K158+K164+K170+K176+K191+K197+K203+K209</f>
        <v>108017</v>
      </c>
      <c r="L11" s="1">
        <v>115861</v>
      </c>
      <c r="M11" s="1">
        <f>+M17+M23+M29+M35+M41+M56+M62+M68+M74+M80+M86+M101+M107+M113+M119+M125+M131+M146+M152+M158+M164+M170+M176+M191+M197+M203+M209</f>
        <v>16288</v>
      </c>
      <c r="N11" s="1">
        <v>18598</v>
      </c>
      <c r="O11" s="1">
        <f>+O17+O23+O29+O35+O41+O56+O62+O68+O74+O80+O86+O101+O107+O113+O119+O125+O131+O146+O152+O158+O164+O170+O176+O191+O197+O203+O209</f>
        <v>36770</v>
      </c>
      <c r="P11" s="1">
        <v>43751</v>
      </c>
      <c r="Q11" s="1">
        <f>+Q17+Q23+Q29+Q35+Q41+Q56+Q62+Q68+Q74+Q80+Q86+Q101+Q107+Q113+Q119+Q125+Q131+Q146+Q152+Q158+Q164+Q170+Q176+Q191+Q197+Q203+Q209</f>
        <v>74719</v>
      </c>
      <c r="R11" s="1">
        <v>80214</v>
      </c>
      <c r="S11" s="1">
        <f>+S17+S23+S29+S35+S41+S56+S62+S68+S74+S80+S86+S101+S107+S113+S119+S125+S131+S146+S152+S158+S164+S170+S176+S191+S197+S203+S209</f>
        <v>41466</v>
      </c>
      <c r="T11" s="1">
        <v>47857</v>
      </c>
      <c r="U11" s="1">
        <f>+U17+U23+U29+U35+U41+U56+U62+U68+U74+U80+U86+U101+U107+U113+U119+U125+U131+U146+U152+U158+U164+U170+U176+U191+U197+U203+U209</f>
        <v>43097</v>
      </c>
      <c r="V11" s="1">
        <v>45856</v>
      </c>
      <c r="W11" s="1">
        <f>+W17+W23+W29+W35+W41+W56+W62+W68+W74+W80+W86+W101+W107+W113+W119+W125+W131+W146+W152+W158+W164+W170+W176+W191+W197+W203+W209</f>
        <v>16143</v>
      </c>
      <c r="X11" s="1">
        <v>18091</v>
      </c>
      <c r="Y11" s="1">
        <f>+Y17+Y23+Y29+Y35+Y41+Y56+Y62+Y68+Y74+Y80+Y86+Y101+Y107+Y113+Y119+Y125+Y131+Y146+Y152+Y158+Y164+Y170+Y176+Y191+Y197+Y203+Y209</f>
        <v>72345</v>
      </c>
      <c r="Z11" s="1">
        <v>81329</v>
      </c>
      <c r="AA11" s="1">
        <f>+F11+H11+J11+L11+N11+P11+R11+T11+V11+X11+Z11</f>
        <v>533720</v>
      </c>
    </row>
    <row r="12" spans="1:27" ht="12.75">
      <c r="A12" s="1" t="s">
        <v>21</v>
      </c>
      <c r="B12" s="1"/>
      <c r="C12" s="1">
        <f t="shared" si="0"/>
        <v>16084680395</v>
      </c>
      <c r="D12" s="1">
        <f t="shared" si="0"/>
        <v>17863508020</v>
      </c>
      <c r="E12" s="1">
        <f>+E18+E24+E30+E36+E42+E57+E63+E69+E75+E81+E87+E102+E108+E114+E120+E126+E132+E147+E153+E159+E165+E171+E177+E192+E198+E204+E210</f>
        <v>95158692</v>
      </c>
      <c r="F12" s="1">
        <v>108286033</v>
      </c>
      <c r="G12" s="1">
        <f>+G18+G24+G30+G36+G42+G57+G63+G69+G75+G81+G87+G102+G108+G114+G120+G126+G132+G147+G153+G159+G165+G171+G177+G192+G198+G204+G210</f>
        <v>824231347</v>
      </c>
      <c r="H12" s="1">
        <v>1037340483</v>
      </c>
      <c r="I12" s="1">
        <f>+I18+I24+I30+I36+I42+I57+I63+I69+I75+I81+I87+I102+I108+I114+I120+I126+I132+I147+I153+I159+I165+I171+I177+I192+I198+I204+I210</f>
        <v>1843801781</v>
      </c>
      <c r="J12" s="1">
        <v>1907640907</v>
      </c>
      <c r="K12" s="1">
        <f>+K18+K24+K30+K36+K42+K57+K63+K69+K75+K81+K87+K102+K108+K114+K120+K126+K132+K147+K153+K159+K165+K171+K177+K192+K198+K204+K210</f>
        <v>3473437407</v>
      </c>
      <c r="L12" s="1">
        <v>3839037910</v>
      </c>
      <c r="M12" s="1">
        <f>+M18+M24+M30+M36+M42+M57+M63+M69+M75+M81+M87+M102+M108+M114+M120+M126+M132+M147+M153+M159+M165+M171+M177+M192+M198+M204+M210</f>
        <v>632028406</v>
      </c>
      <c r="N12" s="1">
        <v>706877259</v>
      </c>
      <c r="O12" s="1">
        <f>+O18+O24+O30+O36+O42+O57+O63+O69+O75+O81+O87+O102+O108+O114+O120+O126+O132+O147+O153+O159+O165+O171+O177+O192+O198+O204+O210</f>
        <v>1589035285</v>
      </c>
      <c r="P12" s="1">
        <v>1804524475</v>
      </c>
      <c r="Q12" s="1">
        <f>+Q18+Q24+Q30+Q36+Q42+Q57+Q63+Q69+Q75+Q81+Q87+Q102+Q108+Q114+Q120+Q126+Q132+Q147+Q153+Q159+Q165+Q171+Q177+Q192+Q198+Q204+Q210</f>
        <v>2772415318</v>
      </c>
      <c r="R12" s="1">
        <v>3003504459</v>
      </c>
      <c r="S12" s="1">
        <f>+S18+S24+S30+S36+S42+S57+S63+S69+S75+S81+S87+S102+S108+S114+S120+S126+S132+S147+S153+S159+S165+S171+S177+S192+S198+S204+S210</f>
        <v>1276348518</v>
      </c>
      <c r="T12" s="1">
        <v>1498093693</v>
      </c>
      <c r="U12" s="1">
        <f>+U18+U24+U30+U36+U42+U57+U63+U69+U75+U81+U87+U102+U108+U114+U120+U126+U132+U147+U153+U159+U165+U171+U177+U192+U198+U204+U210</f>
        <v>685792816</v>
      </c>
      <c r="V12" s="1">
        <v>731719635</v>
      </c>
      <c r="W12" s="1">
        <f>+W18+W24+W30+W36+W42+W57+W63+W69+W75+W81+W87+W102+W108+W114+W120+W126+W132+W147+W153+W159+W165+W171+W177+W192+W198+W204+W210</f>
        <v>382099123</v>
      </c>
      <c r="X12" s="1">
        <v>428690744</v>
      </c>
      <c r="Y12" s="1">
        <f>+Y18+Y24+Y30+Y36+Y42+Y57+Y63+Y69+Y75+Y81+Y87+Y102+Y108+Y114+Y120+Y126+Y132+Y147+Y153+Y159+Y165+Y171+Y177+Y192+Y198+Y204+Y210</f>
        <v>2510331702</v>
      </c>
      <c r="Z12" s="1">
        <v>2797792422</v>
      </c>
      <c r="AA12" s="1">
        <f>+F12+H12+J12+L12+N12+P12+R12+T12+V12+X12+Z12</f>
        <v>17863508020</v>
      </c>
    </row>
    <row r="13" spans="1:27" ht="12.75">
      <c r="A13" s="1" t="s">
        <v>23</v>
      </c>
      <c r="B13" s="1"/>
      <c r="C13" s="1">
        <f>C12/(C11*12)</f>
        <v>2779.341058448017</v>
      </c>
      <c r="D13" s="1">
        <f>D12/(D11*12)</f>
        <v>2789.1509936546004</v>
      </c>
      <c r="E13" s="11"/>
      <c r="F13" s="1">
        <f aca="true" t="shared" si="1" ref="F13:AA13">F12/(F11*12)</f>
        <v>4817.85161950525</v>
      </c>
      <c r="G13" s="1">
        <f t="shared" si="1"/>
        <v>2905.988559118858</v>
      </c>
      <c r="H13" s="1">
        <f t="shared" si="1"/>
        <v>2831.5713010580102</v>
      </c>
      <c r="I13" s="1">
        <f t="shared" si="1"/>
        <v>3189.880178057355</v>
      </c>
      <c r="J13" s="1">
        <f t="shared" si="1"/>
        <v>3194.672044037164</v>
      </c>
      <c r="K13" s="1">
        <f t="shared" si="1"/>
        <v>2679.699651443754</v>
      </c>
      <c r="L13" s="1">
        <f t="shared" si="1"/>
        <v>2761.2382582001997</v>
      </c>
      <c r="M13" s="1">
        <f t="shared" si="1"/>
        <v>3233.6096410445316</v>
      </c>
      <c r="N13" s="1">
        <f t="shared" si="1"/>
        <v>3167.353384772556</v>
      </c>
      <c r="O13" s="1">
        <f t="shared" si="1"/>
        <v>3601.29472622609</v>
      </c>
      <c r="P13" s="1">
        <f t="shared" si="1"/>
        <v>3437.110913655307</v>
      </c>
      <c r="Q13" s="1">
        <f t="shared" si="1"/>
        <v>3092.046331365962</v>
      </c>
      <c r="R13" s="1">
        <f t="shared" si="1"/>
        <v>3120.3036658189344</v>
      </c>
      <c r="S13" s="1">
        <f t="shared" si="1"/>
        <v>2565.050318333092</v>
      </c>
      <c r="T13" s="1">
        <f t="shared" si="1"/>
        <v>2608.6286454088918</v>
      </c>
      <c r="U13" s="1">
        <f t="shared" si="1"/>
        <v>1326.0644901810645</v>
      </c>
      <c r="V13" s="1">
        <f t="shared" si="1"/>
        <v>1329.741718640963</v>
      </c>
      <c r="W13" s="1">
        <f t="shared" si="1"/>
        <v>1972.4706425901836</v>
      </c>
      <c r="X13" s="1">
        <f t="shared" si="1"/>
        <v>1974.6961841062775</v>
      </c>
      <c r="Y13" s="1">
        <f t="shared" si="1"/>
        <v>2891.620823830258</v>
      </c>
      <c r="Z13" s="1">
        <f t="shared" si="1"/>
        <v>2866.743332636575</v>
      </c>
      <c r="AA13" s="1">
        <f t="shared" si="1"/>
        <v>2789.1509936546004</v>
      </c>
    </row>
    <row r="14" spans="1:26" ht="12.75">
      <c r="A14" s="1"/>
      <c r="B14" s="1"/>
      <c r="C14" s="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 t="s">
        <v>27</v>
      </c>
      <c r="B15" s="1"/>
      <c r="C15" s="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7" ht="12.75">
      <c r="A16" s="1" t="s">
        <v>18</v>
      </c>
      <c r="B16" s="1"/>
      <c r="C16" s="1">
        <f aca="true" t="shared" si="2" ref="C16:D18">+E16+G16+I16+K16+M16+O16+Q16+S16+U16+W16+Y16</f>
        <v>100</v>
      </c>
      <c r="D16" s="1">
        <f t="shared" si="2"/>
        <v>139.54411991426358</v>
      </c>
      <c r="E16" s="11">
        <v>2</v>
      </c>
      <c r="F16" s="1">
        <f>+F$225*E16</f>
        <v>3.7222222222222223</v>
      </c>
      <c r="G16" s="11">
        <v>40</v>
      </c>
      <c r="H16" s="1">
        <f>+H$225*G16</f>
        <v>62.7254978524014</v>
      </c>
      <c r="I16" s="11">
        <v>3</v>
      </c>
      <c r="J16" s="1">
        <f>+J$225*I16</f>
        <v>3.322214809873249</v>
      </c>
      <c r="K16" s="11">
        <v>8</v>
      </c>
      <c r="L16" s="1">
        <f>+L$225*K16</f>
        <v>10.978264649626151</v>
      </c>
      <c r="M16" s="11">
        <v>3</v>
      </c>
      <c r="N16" s="1">
        <f>+N$225*M16</f>
        <v>4.309364548494983</v>
      </c>
      <c r="O16" s="11">
        <v>6</v>
      </c>
      <c r="P16" s="1">
        <f>+P$225*O16</f>
        <v>6.935865504358656</v>
      </c>
      <c r="Q16" s="11">
        <v>25</v>
      </c>
      <c r="R16" s="1">
        <f>+R$225*Q16</f>
        <v>33.17399617590822</v>
      </c>
      <c r="S16" s="11">
        <v>3</v>
      </c>
      <c r="T16" s="1">
        <f>+T$225*S16</f>
        <v>3.2757876564523087</v>
      </c>
      <c r="U16" s="11">
        <v>2</v>
      </c>
      <c r="V16" s="1">
        <f>+V$225*U16</f>
        <v>2.199349945828819</v>
      </c>
      <c r="W16" s="11">
        <v>5</v>
      </c>
      <c r="X16" s="1">
        <f>+X$225*W16</f>
        <v>5.633879781420765</v>
      </c>
      <c r="Y16" s="11">
        <v>3</v>
      </c>
      <c r="Z16" s="1">
        <f>+Z$225*Y16</f>
        <v>3.267676767676768</v>
      </c>
      <c r="AA16">
        <f>+F16+H16+J16+L16+N16+P16+R16+T16+V16+X16+Z16</f>
        <v>139.54411991426358</v>
      </c>
    </row>
    <row r="17" spans="1:27" ht="12.75">
      <c r="A17" s="1" t="s">
        <v>20</v>
      </c>
      <c r="B17" s="1"/>
      <c r="C17" s="1">
        <f t="shared" si="2"/>
        <v>981</v>
      </c>
      <c r="D17" s="1">
        <f t="shared" si="2"/>
        <v>1144.5020604642464</v>
      </c>
      <c r="E17" s="11">
        <v>715</v>
      </c>
      <c r="F17" s="1">
        <f>+F$226*E17</f>
        <v>826.6635802469135</v>
      </c>
      <c r="G17" s="11">
        <v>132</v>
      </c>
      <c r="H17" s="1">
        <f>+H$226*G17</f>
        <v>170.4953460822474</v>
      </c>
      <c r="I17" s="11">
        <v>1</v>
      </c>
      <c r="J17" s="1">
        <f>+J$226*I17</f>
        <v>1.0330717488789238</v>
      </c>
      <c r="K17" s="11">
        <v>22</v>
      </c>
      <c r="L17" s="1">
        <f>+L$226*K17</f>
        <v>23.597600377718326</v>
      </c>
      <c r="M17" s="11">
        <v>5</v>
      </c>
      <c r="N17" s="1">
        <f>+N$226*M17</f>
        <v>5.7091110019646365</v>
      </c>
      <c r="O17" s="11">
        <v>7</v>
      </c>
      <c r="P17" s="1">
        <f>+P$226*O17</f>
        <v>8.328991025292359</v>
      </c>
      <c r="Q17" s="11">
        <v>45</v>
      </c>
      <c r="R17" s="1">
        <f>+R$226*Q17</f>
        <v>48.30939921572826</v>
      </c>
      <c r="S17" s="11">
        <v>3</v>
      </c>
      <c r="T17" s="1">
        <f>+T$226*S17</f>
        <v>3.4623788163796845</v>
      </c>
      <c r="U17" s="11">
        <v>5</v>
      </c>
      <c r="V17" s="1">
        <f>+V$226*U17</f>
        <v>5.320091885746107</v>
      </c>
      <c r="W17" s="11">
        <v>37</v>
      </c>
      <c r="X17" s="1">
        <f>+X$226*W17</f>
        <v>41.464845443845626</v>
      </c>
      <c r="Y17" s="11">
        <v>9</v>
      </c>
      <c r="Z17" s="1">
        <f>+Z$226*Y17</f>
        <v>10.117644619531411</v>
      </c>
      <c r="AA17">
        <f>+F17+H17+J17+L17+N17+P17+R17+T17+V17+X17+Z17</f>
        <v>1144.5020604642464</v>
      </c>
    </row>
    <row r="18" spans="1:27" ht="12.75">
      <c r="A18" s="1" t="s">
        <v>21</v>
      </c>
      <c r="B18" s="1"/>
      <c r="C18" s="1">
        <f t="shared" si="2"/>
        <v>50526406</v>
      </c>
      <c r="D18" s="1">
        <f t="shared" si="2"/>
        <v>57729875.387134664</v>
      </c>
      <c r="E18" s="11">
        <v>44377159</v>
      </c>
      <c r="F18" s="1">
        <f>+F$227*E18</f>
        <v>50499081.09203778</v>
      </c>
      <c r="G18" s="11">
        <v>2910834</v>
      </c>
      <c r="H18" s="1">
        <f>+H$227*G18</f>
        <v>3663444.685139865</v>
      </c>
      <c r="I18" s="11">
        <v>7800</v>
      </c>
      <c r="J18" s="1">
        <f>+J$227*I18</f>
        <v>8070.0643788997395</v>
      </c>
      <c r="K18" s="11">
        <v>547394</v>
      </c>
      <c r="L18" s="1">
        <f>+L$227*K18</f>
        <v>605010.5620073839</v>
      </c>
      <c r="M18" s="11">
        <v>190008</v>
      </c>
      <c r="N18" s="1">
        <f>+N$227*M18</f>
        <v>212509.9646677463</v>
      </c>
      <c r="O18" s="11">
        <v>206392</v>
      </c>
      <c r="P18" s="1">
        <f>+P$227*O18</f>
        <v>234380.83405693536</v>
      </c>
      <c r="Q18" s="11">
        <v>1588461</v>
      </c>
      <c r="R18" s="1">
        <f>+R$227*Q18</f>
        <v>1720863.9937429458</v>
      </c>
      <c r="S18" s="11">
        <v>96511</v>
      </c>
      <c r="T18" s="1">
        <f>+T$227*S18</f>
        <v>113278.24521759895</v>
      </c>
      <c r="U18" s="11">
        <v>19779</v>
      </c>
      <c r="V18" s="1">
        <f>+V$227*U18</f>
        <v>21103.578694625758</v>
      </c>
      <c r="W18" s="11">
        <v>459420</v>
      </c>
      <c r="X18" s="1">
        <f>+X$227*W18</f>
        <v>515439.8158837962</v>
      </c>
      <c r="Y18" s="11">
        <v>122648</v>
      </c>
      <c r="Z18" s="1">
        <f>+Z$227*Y18</f>
        <v>136692.55130709257</v>
      </c>
      <c r="AA18">
        <f>+F18+H18+J18+L18+N18+P18+R18+T18+V18+X18+Z18</f>
        <v>57729875.387134664</v>
      </c>
    </row>
    <row r="19" spans="1:26" ht="12.75">
      <c r="A19" s="1" t="s">
        <v>23</v>
      </c>
      <c r="B19" s="1"/>
      <c r="C19" s="1"/>
      <c r="D19" s="1">
        <f>D18/(D17*12)</f>
        <v>4203.420085566701</v>
      </c>
      <c r="E19" s="11">
        <v>0</v>
      </c>
      <c r="F19" s="1">
        <f>F18/(F17*12)</f>
        <v>5090.652180918463</v>
      </c>
      <c r="G19" s="11"/>
      <c r="H19" s="1">
        <f>H18/(H17*12)</f>
        <v>1790.5887996949634</v>
      </c>
      <c r="I19" s="11"/>
      <c r="J19" s="2" t="s">
        <v>32</v>
      </c>
      <c r="K19" s="11"/>
      <c r="L19" s="1">
        <f>L18/(L17*12)</f>
        <v>2136.553972731679</v>
      </c>
      <c r="M19" s="11"/>
      <c r="N19" s="2" t="s">
        <v>32</v>
      </c>
      <c r="O19" s="11"/>
      <c r="P19" s="2" t="s">
        <v>32</v>
      </c>
      <c r="Q19" s="11"/>
      <c r="R19" s="1">
        <f>R18/(R17*12)</f>
        <v>2968.4768417741607</v>
      </c>
      <c r="S19" s="11"/>
      <c r="T19" s="2" t="s">
        <v>32</v>
      </c>
      <c r="U19" s="11"/>
      <c r="V19" s="2" t="s">
        <v>32</v>
      </c>
      <c r="W19" s="11"/>
      <c r="X19" s="1">
        <f>X18/(X17*12)</f>
        <v>1035.8972167998675</v>
      </c>
      <c r="Y19" s="11"/>
      <c r="Z19" s="1">
        <f>Z18/(Z17*12)</f>
        <v>1125.8594634039714</v>
      </c>
    </row>
    <row r="20" spans="1:26" ht="12.75">
      <c r="A20" s="1"/>
      <c r="B20" s="1"/>
      <c r="C20" s="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 t="s">
        <v>38</v>
      </c>
      <c r="B21" s="1"/>
      <c r="C21" s="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7" ht="12.75">
      <c r="A22" s="1" t="s">
        <v>18</v>
      </c>
      <c r="B22" s="1"/>
      <c r="C22" s="1">
        <f aca="true" t="shared" si="3" ref="C22:D24">+E22+G22+I22+K22+M22+O22+Q22+S22+U22+W22+Y22</f>
        <v>727</v>
      </c>
      <c r="D22" s="1">
        <f t="shared" si="3"/>
        <v>953.0961125678269</v>
      </c>
      <c r="E22" s="11">
        <v>2</v>
      </c>
      <c r="F22" s="1">
        <f>+F$225*E22</f>
        <v>3.7222222222222223</v>
      </c>
      <c r="G22" s="11">
        <v>133</v>
      </c>
      <c r="H22" s="1">
        <f>+H$225*G22</f>
        <v>208.56228035923465</v>
      </c>
      <c r="I22" s="11">
        <v>34</v>
      </c>
      <c r="J22" s="1">
        <f>+J$225*I22</f>
        <v>37.651767845230154</v>
      </c>
      <c r="K22" s="11">
        <v>162</v>
      </c>
      <c r="L22" s="1">
        <f>+L$225*K22</f>
        <v>222.30985915492957</v>
      </c>
      <c r="M22" s="11">
        <v>16</v>
      </c>
      <c r="N22" s="1">
        <f>+N$225*M22</f>
        <v>22.983277591973245</v>
      </c>
      <c r="O22" s="11">
        <v>82</v>
      </c>
      <c r="P22" s="1">
        <f>+P$225*O22</f>
        <v>94.79016189290162</v>
      </c>
      <c r="Q22" s="11">
        <v>152</v>
      </c>
      <c r="R22" s="1">
        <f>+R$225*Q22</f>
        <v>201.697896749522</v>
      </c>
      <c r="S22" s="11">
        <v>47</v>
      </c>
      <c r="T22" s="1">
        <f>+T$225*S22</f>
        <v>51.320673284419506</v>
      </c>
      <c r="U22" s="11">
        <v>44</v>
      </c>
      <c r="V22" s="1">
        <f>+V$225*U22</f>
        <v>48.38569880823402</v>
      </c>
      <c r="W22" s="11">
        <v>47</v>
      </c>
      <c r="X22" s="1">
        <f>+X$225*W22</f>
        <v>52.95846994535519</v>
      </c>
      <c r="Y22" s="11">
        <v>8</v>
      </c>
      <c r="Z22" s="1">
        <f>+Z$225*Y22</f>
        <v>8.713804713804715</v>
      </c>
      <c r="AA22">
        <f>+F22+H22+J22+L22+N22+P22+R22+T22+V22+X22+Z22</f>
        <v>953.0961125678269</v>
      </c>
    </row>
    <row r="23" spans="1:27" ht="12.75">
      <c r="A23" s="1" t="s">
        <v>20</v>
      </c>
      <c r="B23" s="1"/>
      <c r="C23" s="1">
        <f t="shared" si="3"/>
        <v>9364</v>
      </c>
      <c r="D23" s="1">
        <f t="shared" si="3"/>
        <v>10559.449172763727</v>
      </c>
      <c r="E23" s="11">
        <v>177</v>
      </c>
      <c r="F23" s="1">
        <f>+F$226*E23</f>
        <v>204.6425925925926</v>
      </c>
      <c r="G23" s="11">
        <v>1433</v>
      </c>
      <c r="H23" s="1">
        <f>+H$226*G23</f>
        <v>1850.9078101201558</v>
      </c>
      <c r="I23" s="11">
        <v>495</v>
      </c>
      <c r="J23" s="1">
        <f>+J$226*I23</f>
        <v>511.3705156950673</v>
      </c>
      <c r="K23" s="11">
        <v>2415</v>
      </c>
      <c r="L23" s="1">
        <f>+L$226*K23</f>
        <v>2590.3729505540796</v>
      </c>
      <c r="M23" s="11">
        <v>570</v>
      </c>
      <c r="N23" s="1">
        <f>+N$226*M23</f>
        <v>650.8386542239685</v>
      </c>
      <c r="O23" s="11">
        <v>372</v>
      </c>
      <c r="P23" s="1">
        <f>+P$226*O23</f>
        <v>442.62638020125104</v>
      </c>
      <c r="Q23" s="11">
        <v>900</v>
      </c>
      <c r="R23" s="1">
        <f>+R$226*Q23</f>
        <v>966.1879843145653</v>
      </c>
      <c r="S23" s="11">
        <v>548</v>
      </c>
      <c r="T23" s="1">
        <f>+T$226*S23</f>
        <v>632.4611971253557</v>
      </c>
      <c r="U23" s="11">
        <v>799</v>
      </c>
      <c r="V23" s="1">
        <f>+V$226*U23</f>
        <v>850.150683342228</v>
      </c>
      <c r="W23" s="11">
        <v>180</v>
      </c>
      <c r="X23" s="1">
        <f>+X$226*W23</f>
        <v>201.72086972681657</v>
      </c>
      <c r="Y23" s="11">
        <v>1475</v>
      </c>
      <c r="Z23" s="1">
        <f>+Z$226*Y23</f>
        <v>1658.1695348676478</v>
      </c>
      <c r="AA23">
        <f>+F23+H23+J23+L23+N23+P23+R23+T23+V23+X23+Z23</f>
        <v>10559.449172763727</v>
      </c>
    </row>
    <row r="24" spans="1:27" ht="12.75">
      <c r="A24" s="1" t="s">
        <v>21</v>
      </c>
      <c r="B24" s="1"/>
      <c r="C24" s="1">
        <f t="shared" si="3"/>
        <v>260714710</v>
      </c>
      <c r="D24" s="1">
        <f t="shared" si="3"/>
        <v>295524098.04306597</v>
      </c>
      <c r="E24" s="11">
        <v>7098816</v>
      </c>
      <c r="F24" s="1">
        <f>+F$227*E24</f>
        <v>8078112.5452725645</v>
      </c>
      <c r="G24" s="11">
        <v>47500113</v>
      </c>
      <c r="H24" s="1">
        <f>+H$227*G24</f>
        <v>59781504.72111876</v>
      </c>
      <c r="I24" s="11">
        <v>16476618</v>
      </c>
      <c r="J24" s="1">
        <f>+J$227*I24</f>
        <v>17047098.462376703</v>
      </c>
      <c r="K24" s="11">
        <v>68614245</v>
      </c>
      <c r="L24" s="1">
        <f>+L$227*K24</f>
        <v>75836313.38517106</v>
      </c>
      <c r="M24" s="11">
        <v>11334333</v>
      </c>
      <c r="N24" s="1">
        <f>+N$227*M24</f>
        <v>12676617.328546539</v>
      </c>
      <c r="O24" s="11">
        <v>11651056</v>
      </c>
      <c r="P24" s="1">
        <f>+P$227*O24</f>
        <v>13231056.547366474</v>
      </c>
      <c r="Q24" s="11">
        <v>24257694</v>
      </c>
      <c r="R24" s="1">
        <f>+R$227*Q24</f>
        <v>26279645.629218657</v>
      </c>
      <c r="S24" s="11">
        <v>11877726</v>
      </c>
      <c r="T24" s="1">
        <f>+T$227*S24</f>
        <v>13941291.23577054</v>
      </c>
      <c r="U24" s="11">
        <v>7699170</v>
      </c>
      <c r="V24" s="1">
        <f>+V$227*U24</f>
        <v>8214775.265599969</v>
      </c>
      <c r="W24" s="11">
        <v>3458553</v>
      </c>
      <c r="X24" s="1">
        <f>+X$227*W24</f>
        <v>3880274.958740044</v>
      </c>
      <c r="Y24" s="11">
        <v>50746386</v>
      </c>
      <c r="Z24" s="1">
        <f>+Z$227*Y24</f>
        <v>56557407.963884644</v>
      </c>
      <c r="AA24">
        <f>+F24+H24+J24+L24+N24+P24+R24+T24+V24+X24+Z24</f>
        <v>295524098.04306597</v>
      </c>
    </row>
    <row r="25" spans="1:26" ht="12.75">
      <c r="A25" s="1" t="s">
        <v>23</v>
      </c>
      <c r="B25" s="1"/>
      <c r="C25" s="1"/>
      <c r="D25" s="1">
        <f>D24/(D23*12)</f>
        <v>2332.2246991610705</v>
      </c>
      <c r="E25" s="11"/>
      <c r="F25" s="1">
        <f>F24/(F23*12)</f>
        <v>3289.520704907973</v>
      </c>
      <c r="G25" s="11"/>
      <c r="H25" s="1">
        <f>H24/(H23*12)</f>
        <v>2691.539812439295</v>
      </c>
      <c r="I25" s="11"/>
      <c r="J25" s="1">
        <f>J24/(J23*12)</f>
        <v>2778.008303041268</v>
      </c>
      <c r="K25" s="11"/>
      <c r="L25" s="1">
        <f>L24/(L23*12)</f>
        <v>2439.6845175308863</v>
      </c>
      <c r="M25" s="11"/>
      <c r="N25" s="1">
        <f>N24/(N23*12)</f>
        <v>1623.1131487395523</v>
      </c>
      <c r="O25" s="11"/>
      <c r="P25" s="1">
        <f>P24/(P23*12)</f>
        <v>2491.0129511769132</v>
      </c>
      <c r="Q25" s="11"/>
      <c r="R25" s="1">
        <f>R24/(R23*12)</f>
        <v>2266.6090912475665</v>
      </c>
      <c r="S25" s="11"/>
      <c r="T25" s="1">
        <f>T24/(T23*12)</f>
        <v>1836.9099557854422</v>
      </c>
      <c r="U25" s="11"/>
      <c r="V25" s="1">
        <f>V24/(V23*12)</f>
        <v>805.2273777813252</v>
      </c>
      <c r="W25" s="11"/>
      <c r="X25" s="1">
        <f>X24/(X23*12)</f>
        <v>1602.9885603784091</v>
      </c>
      <c r="Y25" s="11"/>
      <c r="Z25" s="1">
        <f>Z24/(Z23*12)</f>
        <v>2842.361550623901</v>
      </c>
    </row>
    <row r="26" spans="1:26" ht="12.75">
      <c r="A26" s="1"/>
      <c r="B26" s="1"/>
      <c r="C26" s="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 t="s">
        <v>47</v>
      </c>
      <c r="B27" s="1"/>
      <c r="C27" s="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7" ht="12.75">
      <c r="A28" s="1" t="s">
        <v>18</v>
      </c>
      <c r="B28" s="1"/>
      <c r="C28" s="1">
        <f aca="true" t="shared" si="4" ref="C28:D30">+E28+G28+I28+K28+M28+O28+Q28+S28+U28+W28+Y28</f>
        <v>442</v>
      </c>
      <c r="D28" s="1">
        <f t="shared" si="4"/>
        <v>554.3591425162215</v>
      </c>
      <c r="E28" s="11">
        <v>0</v>
      </c>
      <c r="F28" s="1">
        <f>+F$225*E28</f>
        <v>0</v>
      </c>
      <c r="G28" s="11">
        <v>40</v>
      </c>
      <c r="H28" s="1">
        <f>+H$225*G28</f>
        <v>62.7254978524014</v>
      </c>
      <c r="I28" s="11">
        <v>9</v>
      </c>
      <c r="J28" s="1">
        <f>+J$225*I28</f>
        <v>9.966644429619747</v>
      </c>
      <c r="K28" s="11">
        <v>101</v>
      </c>
      <c r="L28" s="1">
        <f>+L$225*K28</f>
        <v>138.60059120153016</v>
      </c>
      <c r="M28" s="15">
        <v>10</v>
      </c>
      <c r="N28" s="1">
        <f>+N$225*M28</f>
        <v>14.364548494983278</v>
      </c>
      <c r="O28" s="11">
        <v>66</v>
      </c>
      <c r="P28" s="1">
        <f>+P$225*O28</f>
        <v>76.29452054794521</v>
      </c>
      <c r="Q28" s="11">
        <v>64</v>
      </c>
      <c r="R28" s="1">
        <f>+R$225*Q28</f>
        <v>84.92543021032505</v>
      </c>
      <c r="S28" s="11">
        <v>53</v>
      </c>
      <c r="T28" s="1">
        <f>+T$225*S28</f>
        <v>57.87224859732412</v>
      </c>
      <c r="U28" s="11">
        <v>55</v>
      </c>
      <c r="V28" s="1">
        <f>+V$225*U28</f>
        <v>60.482123510292524</v>
      </c>
      <c r="W28" s="11">
        <v>32</v>
      </c>
      <c r="X28" s="1">
        <f>+X$225*W28</f>
        <v>36.0568306010929</v>
      </c>
      <c r="Y28" s="11">
        <v>12</v>
      </c>
      <c r="Z28" s="1">
        <f>+Z$225*Y28</f>
        <v>13.070707070707073</v>
      </c>
      <c r="AA28">
        <f>+F28+H28+J28+L28+N28+P28+R28+T28+V28+X28+Z28</f>
        <v>554.3591425162215</v>
      </c>
    </row>
    <row r="29" spans="1:27" ht="12.75">
      <c r="A29" s="1" t="s">
        <v>20</v>
      </c>
      <c r="B29" s="1"/>
      <c r="C29" s="1">
        <f t="shared" si="4"/>
        <v>10867</v>
      </c>
      <c r="D29" s="1">
        <f t="shared" si="4"/>
        <v>11891.964470093233</v>
      </c>
      <c r="E29" s="11">
        <v>0</v>
      </c>
      <c r="F29" s="1">
        <f>+F$226*E29</f>
        <v>0</v>
      </c>
      <c r="G29" s="11">
        <v>261</v>
      </c>
      <c r="H29" s="1">
        <f>+H$226*G29</f>
        <v>337.1157979353529</v>
      </c>
      <c r="I29" s="11">
        <v>1007</v>
      </c>
      <c r="J29" s="1">
        <f>+J$226*I29</f>
        <v>1040.3032511210763</v>
      </c>
      <c r="K29" s="11">
        <v>1803</v>
      </c>
      <c r="L29" s="1">
        <f>+L$226*K29</f>
        <v>1933.9306127739155</v>
      </c>
      <c r="M29" s="15">
        <v>201</v>
      </c>
      <c r="N29" s="1">
        <f>+N$226*M29</f>
        <v>229.50626227897837</v>
      </c>
      <c r="O29" s="11">
        <v>363</v>
      </c>
      <c r="P29" s="1">
        <f>+P$226*O29</f>
        <v>431.91767745444656</v>
      </c>
      <c r="Q29" s="11">
        <v>2933</v>
      </c>
      <c r="R29" s="1">
        <f>+R$226*Q29</f>
        <v>3148.699286660689</v>
      </c>
      <c r="S29" s="11">
        <v>411</v>
      </c>
      <c r="T29" s="1">
        <f>+T$226*S29</f>
        <v>474.34589784401675</v>
      </c>
      <c r="U29" s="11">
        <v>1231</v>
      </c>
      <c r="V29" s="1">
        <f>+V$226*U29</f>
        <v>1309.8066222706916</v>
      </c>
      <c r="W29" s="11">
        <v>175</v>
      </c>
      <c r="X29" s="1">
        <f>+X$226*W29</f>
        <v>196.117512234405</v>
      </c>
      <c r="Y29" s="11">
        <v>2482</v>
      </c>
      <c r="Z29" s="1">
        <f>+Z$226*Y29</f>
        <v>2790.2215495196624</v>
      </c>
      <c r="AA29">
        <f>+F29+H29+J29+L29+N29+P29+R29+T29+V29+X29+Z29</f>
        <v>11891.964470093233</v>
      </c>
    </row>
    <row r="30" spans="1:27" ht="12.75">
      <c r="A30" s="1" t="s">
        <v>21</v>
      </c>
      <c r="B30" s="1"/>
      <c r="C30" s="1">
        <f t="shared" si="4"/>
        <v>257911113</v>
      </c>
      <c r="D30" s="1">
        <f t="shared" si="4"/>
        <v>282877379.27944744</v>
      </c>
      <c r="E30" s="11">
        <v>0</v>
      </c>
      <c r="F30" s="1">
        <f>+F$227*E30</f>
        <v>0</v>
      </c>
      <c r="G30" s="11">
        <v>7004522</v>
      </c>
      <c r="H30" s="1">
        <f>+H$227*G30</f>
        <v>8815576.186359394</v>
      </c>
      <c r="I30" s="11">
        <v>37094017</v>
      </c>
      <c r="J30" s="1">
        <f>+J$227*I30</f>
        <v>38378346.828461714</v>
      </c>
      <c r="K30" s="11">
        <v>34976584</v>
      </c>
      <c r="L30" s="1">
        <f>+L$227*K30</f>
        <v>38658083.10456174</v>
      </c>
      <c r="M30" s="15">
        <v>9757937</v>
      </c>
      <c r="N30" s="1">
        <f>+N$227*M30</f>
        <v>10913534.41486724</v>
      </c>
      <c r="O30" s="11">
        <v>9675713</v>
      </c>
      <c r="P30" s="1">
        <f>+P$227*O30</f>
        <v>10987837.140177585</v>
      </c>
      <c r="Q30" s="11">
        <v>78990933</v>
      </c>
      <c r="R30" s="1">
        <f>+R$227*Q30</f>
        <v>85575064.43775545</v>
      </c>
      <c r="S30" s="11">
        <v>8944636</v>
      </c>
      <c r="T30" s="1">
        <f>+T$227*S30</f>
        <v>10498623.682172637</v>
      </c>
      <c r="U30" s="11">
        <v>13225788</v>
      </c>
      <c r="V30" s="1">
        <f>+V$227*U30</f>
        <v>14111505.023329642</v>
      </c>
      <c r="W30" s="11">
        <f>3848886+1578</f>
        <v>3850464</v>
      </c>
      <c r="X30" s="1">
        <f>+X$227*W30</f>
        <v>4319974.000320372</v>
      </c>
      <c r="Y30" s="11">
        <v>54390519</v>
      </c>
      <c r="Z30" s="1">
        <f>+Z$227*Y30</f>
        <v>60618834.46144163</v>
      </c>
      <c r="AA30">
        <f>+F30+H30+J30+L30+N30+P30+R30+T30+V30+X30+Z30</f>
        <v>282877379.27944744</v>
      </c>
    </row>
    <row r="31" spans="1:26" ht="12.75">
      <c r="A31" s="1" t="s">
        <v>23</v>
      </c>
      <c r="B31" s="1"/>
      <c r="C31" s="1">
        <f>C30/(C29*12)</f>
        <v>1977.7852903285175</v>
      </c>
      <c r="D31" s="1">
        <f>D30/(D29*12)</f>
        <v>1982.272567264838</v>
      </c>
      <c r="E31" s="11"/>
      <c r="F31" s="1">
        <v>0</v>
      </c>
      <c r="G31" s="11"/>
      <c r="H31" s="1">
        <f>H30/(H29*12)</f>
        <v>2179.1661896668506</v>
      </c>
      <c r="I31" s="11"/>
      <c r="J31" s="1">
        <f>J30/(J29*12)</f>
        <v>3074.2916217862057</v>
      </c>
      <c r="K31" s="11"/>
      <c r="L31" s="1">
        <f>L30/(L29*12)</f>
        <v>1665.7820627594317</v>
      </c>
      <c r="M31" s="15"/>
      <c r="N31" s="1">
        <f>N30/(N29*12)</f>
        <v>3962.6857768849595</v>
      </c>
      <c r="O31" s="11"/>
      <c r="P31" s="1">
        <f>P30/(P29*12)</f>
        <v>2119.971334378577</v>
      </c>
      <c r="Q31" s="11"/>
      <c r="R31" s="1">
        <f>R30/(R29*12)</f>
        <v>2264.825796488147</v>
      </c>
      <c r="S31" s="11"/>
      <c r="T31" s="1">
        <f>T30/(T29*12)</f>
        <v>1844.4036531658082</v>
      </c>
      <c r="U31" s="11"/>
      <c r="V31" s="1">
        <f>V30/(V29*12)</f>
        <v>897.8109683897345</v>
      </c>
      <c r="W31" s="11"/>
      <c r="X31" s="1">
        <f>X30/(X29*12)</f>
        <v>1835.6230877013766</v>
      </c>
      <c r="Y31" s="11"/>
      <c r="Z31" s="1">
        <f>Z30/(Z29*12)</f>
        <v>1810.454635519211</v>
      </c>
    </row>
    <row r="32" spans="1:26" ht="12.75">
      <c r="A32" s="1"/>
      <c r="B32" s="1"/>
      <c r="C32" s="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 t="s">
        <v>56</v>
      </c>
      <c r="B33" s="1"/>
      <c r="C33" s="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7" ht="12.75">
      <c r="A34" s="1" t="s">
        <v>18</v>
      </c>
      <c r="B34" s="1"/>
      <c r="C34" s="1">
        <f aca="true" t="shared" si="5" ref="C34:D36">+E34+G34+I34+K34+M34+O34+Q34+S34+U34+W34+Y34</f>
        <v>186</v>
      </c>
      <c r="D34" s="1">
        <f t="shared" si="5"/>
        <v>243.74354557852735</v>
      </c>
      <c r="E34" s="11">
        <v>2</v>
      </c>
      <c r="F34" s="1">
        <f>+F$225*E34</f>
        <v>3.7222222222222223</v>
      </c>
      <c r="G34" s="11">
        <v>47</v>
      </c>
      <c r="H34" s="1">
        <f>+H$225*G34</f>
        <v>73.70245997657165</v>
      </c>
      <c r="I34" s="11">
        <v>10</v>
      </c>
      <c r="J34" s="1">
        <f>+J$225*I34</f>
        <v>11.074049366244163</v>
      </c>
      <c r="K34" s="11">
        <v>32</v>
      </c>
      <c r="L34" s="1">
        <f>+L$225*K34</f>
        <v>43.913058598504605</v>
      </c>
      <c r="M34" s="11">
        <v>2</v>
      </c>
      <c r="N34" s="1">
        <f>+N$225*M34</f>
        <v>2.8729096989966556</v>
      </c>
      <c r="O34" s="11">
        <v>13</v>
      </c>
      <c r="P34" s="1">
        <f>+P$225*O34</f>
        <v>15.027708592777087</v>
      </c>
      <c r="Q34" s="11">
        <v>23</v>
      </c>
      <c r="R34" s="1">
        <f>+R$225*Q34</f>
        <v>30.520076481835563</v>
      </c>
      <c r="S34" s="11">
        <v>15</v>
      </c>
      <c r="T34" s="1">
        <f>+T$225*S34</f>
        <v>16.378938282261544</v>
      </c>
      <c r="U34" s="11">
        <v>14</v>
      </c>
      <c r="V34" s="1">
        <f>+V$225*U34</f>
        <v>15.395449620801733</v>
      </c>
      <c r="W34" s="11">
        <v>17</v>
      </c>
      <c r="X34" s="1">
        <f>+X$225*W34</f>
        <v>19.1551912568306</v>
      </c>
      <c r="Y34" s="11">
        <v>11</v>
      </c>
      <c r="Z34" s="1">
        <f>+Z$225*Y34</f>
        <v>11.981481481481483</v>
      </c>
      <c r="AA34">
        <f>+F34+H34+J34+L34+N34+P34+R34+T34+V34+X34+Z34</f>
        <v>243.74354557852735</v>
      </c>
    </row>
    <row r="35" spans="1:27" ht="12.75">
      <c r="A35" s="1" t="s">
        <v>20</v>
      </c>
      <c r="B35" s="1"/>
      <c r="C35" s="1">
        <f t="shared" si="5"/>
        <v>3942</v>
      </c>
      <c r="D35" s="1">
        <f t="shared" si="5"/>
        <v>4365.045816521757</v>
      </c>
      <c r="E35" s="11">
        <v>364</v>
      </c>
      <c r="F35" s="1">
        <f>+F$226*E35</f>
        <v>420.8469135802469</v>
      </c>
      <c r="G35" s="11">
        <v>345</v>
      </c>
      <c r="H35" s="1">
        <f>+H$226*G35</f>
        <v>445.6128363513285</v>
      </c>
      <c r="I35" s="11">
        <v>588</v>
      </c>
      <c r="J35" s="1">
        <f>+J$226*I35</f>
        <v>607.4461883408072</v>
      </c>
      <c r="K35" s="11">
        <v>559</v>
      </c>
      <c r="L35" s="1">
        <f>+L$226*K35</f>
        <v>599.5935732338429</v>
      </c>
      <c r="M35" s="11">
        <v>9</v>
      </c>
      <c r="N35" s="1">
        <f>+N$226*M35</f>
        <v>10.276399803536345</v>
      </c>
      <c r="O35" s="11">
        <v>57</v>
      </c>
      <c r="P35" s="1">
        <f>+P$226*O35</f>
        <v>67.82178406309492</v>
      </c>
      <c r="Q35" s="11">
        <v>1055</v>
      </c>
      <c r="R35" s="1">
        <f>+R$226*Q35</f>
        <v>1132.5870260576291</v>
      </c>
      <c r="S35" s="11">
        <v>172</v>
      </c>
      <c r="T35" s="1">
        <f>+T$226*S35</f>
        <v>198.50971880576859</v>
      </c>
      <c r="U35" s="11">
        <v>148</v>
      </c>
      <c r="V35" s="1">
        <f>+V$226*U35</f>
        <v>157.4747198180848</v>
      </c>
      <c r="W35" s="11">
        <v>63</v>
      </c>
      <c r="X35" s="1">
        <f>+X$226*W35</f>
        <v>70.6023044043858</v>
      </c>
      <c r="Y35" s="11">
        <v>582</v>
      </c>
      <c r="Z35" s="1">
        <f>+Z$226*Y35</f>
        <v>654.2743520630313</v>
      </c>
      <c r="AA35">
        <f>+F35+H35+J35+L35+N35+P35+R35+T35+V35+X35+Z35</f>
        <v>4365.045816521757</v>
      </c>
    </row>
    <row r="36" spans="1:27" ht="12.75">
      <c r="A36" s="1" t="s">
        <v>21</v>
      </c>
      <c r="B36" s="1"/>
      <c r="C36" s="1">
        <f t="shared" si="5"/>
        <v>141073364</v>
      </c>
      <c r="D36" s="1">
        <f t="shared" si="5"/>
        <v>155415175.0683794</v>
      </c>
      <c r="E36" s="11">
        <v>21484923</v>
      </c>
      <c r="F36" s="1">
        <f>+F$227*E36</f>
        <v>24448813.157083526</v>
      </c>
      <c r="G36" s="11">
        <v>10163764</v>
      </c>
      <c r="H36" s="1">
        <f>+H$227*G36</f>
        <v>12791656.00196229</v>
      </c>
      <c r="I36" s="11">
        <v>33703910</v>
      </c>
      <c r="J36" s="1">
        <f>+J$227*I36</f>
        <v>34870861.98982599</v>
      </c>
      <c r="K36" s="11">
        <v>11559988</v>
      </c>
      <c r="L36" s="1">
        <f>+L$227*K36</f>
        <v>12776747.345931109</v>
      </c>
      <c r="M36" s="11">
        <v>87298</v>
      </c>
      <c r="N36" s="1">
        <f>+N$227*M36</f>
        <v>97636.38844451241</v>
      </c>
      <c r="O36" s="11">
        <v>1494521</v>
      </c>
      <c r="P36" s="1">
        <f>+P$227*O36</f>
        <v>1697193.1009709926</v>
      </c>
      <c r="Q36" s="11">
        <v>39563909</v>
      </c>
      <c r="R36" s="1">
        <f>+R$227*Q36</f>
        <v>42861679.60675301</v>
      </c>
      <c r="S36" s="11">
        <v>4669482</v>
      </c>
      <c r="T36" s="1">
        <f>+T$227*S36</f>
        <v>5480729.937884431</v>
      </c>
      <c r="U36" s="11">
        <v>1376418</v>
      </c>
      <c r="V36" s="1">
        <f>+V$227*U36</f>
        <v>1468595.256570069</v>
      </c>
      <c r="W36" s="11">
        <v>1206208</v>
      </c>
      <c r="X36" s="1">
        <f>+X$227*W36</f>
        <v>1353288.1229323104</v>
      </c>
      <c r="Y36" s="11">
        <v>15762943</v>
      </c>
      <c r="Z36" s="1">
        <f>+Z$227*Y36</f>
        <v>17567974.160021164</v>
      </c>
      <c r="AA36">
        <f>+F36+H36+J36+L36+N36+P36+R36+T36+V36+X36+Z36</f>
        <v>155415175.0683794</v>
      </c>
    </row>
    <row r="37" spans="1:26" ht="12.75">
      <c r="A37" s="1" t="s">
        <v>23</v>
      </c>
      <c r="B37" s="1"/>
      <c r="C37" s="1">
        <f>C36/(C35*12)</f>
        <v>2982.2713512599357</v>
      </c>
      <c r="D37" s="1">
        <f>D36/(D35*12)</f>
        <v>2967.0397822654936</v>
      </c>
      <c r="E37" s="11"/>
      <c r="F37" s="1">
        <f>F36/(F35*12)</f>
        <v>4841.192915235997</v>
      </c>
      <c r="G37" s="11"/>
      <c r="H37" s="1">
        <f>H36/(H35*12)</f>
        <v>2392.1468291286565</v>
      </c>
      <c r="I37" s="11"/>
      <c r="J37" s="1">
        <f>J36/(J35*12)</f>
        <v>4783.8067331628</v>
      </c>
      <c r="K37" s="11"/>
      <c r="L37" s="1">
        <f>L36/(L35*12)</f>
        <v>1775.7510971169338</v>
      </c>
      <c r="M37" s="11"/>
      <c r="N37" s="2" t="s">
        <v>32</v>
      </c>
      <c r="O37" s="11"/>
      <c r="P37" s="1">
        <f>P36/(P35*12)</f>
        <v>2085.3588617290548</v>
      </c>
      <c r="Q37" s="11"/>
      <c r="R37" s="1">
        <f>R36/(R35*12)</f>
        <v>3153.6708012001727</v>
      </c>
      <c r="S37" s="11"/>
      <c r="T37" s="1">
        <f>T36/(T35*12)</f>
        <v>2300.781531359614</v>
      </c>
      <c r="U37" s="11"/>
      <c r="V37" s="1">
        <f>V36/(V35*12)</f>
        <v>777.1592684138942</v>
      </c>
      <c r="W37" s="11"/>
      <c r="X37" s="1">
        <f>X36/(X35*12)</f>
        <v>1597.3134474255728</v>
      </c>
      <c r="Y37" s="11"/>
      <c r="Z37" s="1">
        <f>Z36/(Z35*12)</f>
        <v>2237.5901516729364</v>
      </c>
    </row>
    <row r="38" spans="1:26" ht="12.75">
      <c r="A38" s="1"/>
      <c r="B38" s="1"/>
      <c r="C38" s="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 t="s">
        <v>69</v>
      </c>
      <c r="B39" s="1"/>
      <c r="C39" s="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7" ht="12.75">
      <c r="A40" s="1" t="s">
        <v>18</v>
      </c>
      <c r="B40" s="1"/>
      <c r="C40" s="1">
        <f aca="true" t="shared" si="6" ref="C40:D42">+E40+G40+I40+K40+M40+O40+Q40+S40+U40+W40+Y40</f>
        <v>1247</v>
      </c>
      <c r="D40" s="1">
        <f t="shared" si="6"/>
        <v>1581.7119685485902</v>
      </c>
      <c r="E40" s="11">
        <v>2</v>
      </c>
      <c r="F40" s="1">
        <f>+F$225*E40</f>
        <v>3.7222222222222223</v>
      </c>
      <c r="G40" s="11">
        <v>122</v>
      </c>
      <c r="H40" s="1">
        <f>+H$225*G40</f>
        <v>191.31276844982426</v>
      </c>
      <c r="I40" s="11">
        <v>75</v>
      </c>
      <c r="J40" s="1">
        <f>+J$225*I40</f>
        <v>83.05537024683122</v>
      </c>
      <c r="K40" s="11">
        <v>297</v>
      </c>
      <c r="L40" s="1">
        <f>+L$225*K40</f>
        <v>407.5680751173709</v>
      </c>
      <c r="M40" s="11">
        <v>31</v>
      </c>
      <c r="N40" s="1">
        <f>+N$225*M40</f>
        <v>44.530100334448164</v>
      </c>
      <c r="O40" s="11">
        <v>231</v>
      </c>
      <c r="P40" s="1">
        <f>+P$225*O40</f>
        <v>267.0308219178082</v>
      </c>
      <c r="Q40" s="11">
        <v>201</v>
      </c>
      <c r="R40" s="1">
        <f>+R$225*Q40</f>
        <v>266.7189292543021</v>
      </c>
      <c r="S40" s="11">
        <v>82</v>
      </c>
      <c r="T40" s="1">
        <f>+T$225*S40</f>
        <v>89.53819594302978</v>
      </c>
      <c r="U40" s="11">
        <v>103</v>
      </c>
      <c r="V40" s="1">
        <f>+V$225*U40</f>
        <v>113.26652221018418</v>
      </c>
      <c r="W40" s="11">
        <v>74</v>
      </c>
      <c r="X40" s="1">
        <f>+X$225*W40</f>
        <v>83.38142076502733</v>
      </c>
      <c r="Y40" s="11">
        <v>29</v>
      </c>
      <c r="Z40" s="1">
        <f>+Z$225*Y40</f>
        <v>31.58754208754209</v>
      </c>
      <c r="AA40">
        <f>+F40+H40+J40+L40+N40+P40+R40+T40+V40+X40+Z40</f>
        <v>1581.7119685485902</v>
      </c>
    </row>
    <row r="41" spans="1:27" ht="12.75">
      <c r="A41" s="1" t="s">
        <v>20</v>
      </c>
      <c r="B41" s="1"/>
      <c r="C41" s="1">
        <f t="shared" si="6"/>
        <v>19340</v>
      </c>
      <c r="D41" s="1">
        <f t="shared" si="6"/>
        <v>21574.558150053457</v>
      </c>
      <c r="E41" s="11">
        <v>32</v>
      </c>
      <c r="F41" s="1">
        <f>+F$226*E41</f>
        <v>36.99753086419753</v>
      </c>
      <c r="G41" s="11">
        <v>1552</v>
      </c>
      <c r="H41" s="1">
        <f>+H$226*G41</f>
        <v>2004.6119478761211</v>
      </c>
      <c r="I41" s="11">
        <v>1653</v>
      </c>
      <c r="J41" s="1">
        <f>+J$226*I41</f>
        <v>1707.6676008968611</v>
      </c>
      <c r="K41" s="11">
        <v>4169</v>
      </c>
      <c r="L41" s="1">
        <f>+L$226*K41</f>
        <v>4471.745271577623</v>
      </c>
      <c r="M41" s="11">
        <v>2586</v>
      </c>
      <c r="N41" s="1">
        <f>+N$226*M41</f>
        <v>2952.7522102161097</v>
      </c>
      <c r="O41" s="11">
        <v>1897</v>
      </c>
      <c r="P41" s="1">
        <f>+P$226*O41</f>
        <v>2257.1565678542293</v>
      </c>
      <c r="Q41" s="11">
        <v>2386</v>
      </c>
      <c r="R41" s="1">
        <f>+R$226*Q41</f>
        <v>2561.4717006383917</v>
      </c>
      <c r="S41" s="11">
        <v>912</v>
      </c>
      <c r="T41" s="1">
        <f>+T$226*S41</f>
        <v>1052.5631601794241</v>
      </c>
      <c r="U41" s="11">
        <v>2290</v>
      </c>
      <c r="V41" s="1">
        <f>+V$226*U41</f>
        <v>2436.6020836717175</v>
      </c>
      <c r="W41" s="11">
        <v>388</v>
      </c>
      <c r="X41" s="1">
        <f>+X$226*W41</f>
        <v>434.8205414111379</v>
      </c>
      <c r="Y41" s="11">
        <v>1475</v>
      </c>
      <c r="Z41" s="1">
        <f>+Z$226*Y41</f>
        <v>1658.1695348676478</v>
      </c>
      <c r="AA41">
        <f>+F41+H41+J41+L41+N41+P41+R41+T41+V41+X41+Z41</f>
        <v>21574.558150053457</v>
      </c>
    </row>
    <row r="42" spans="1:27" ht="12.75">
      <c r="A42" s="1" t="s">
        <v>21</v>
      </c>
      <c r="B42" s="1"/>
      <c r="C42" s="1">
        <f t="shared" si="6"/>
        <v>555549723</v>
      </c>
      <c r="D42" s="1">
        <f t="shared" si="6"/>
        <v>620749356.1114293</v>
      </c>
      <c r="E42" s="11">
        <v>1000330</v>
      </c>
      <c r="F42" s="1">
        <f>+F$227*E42</f>
        <v>1138327.620044315</v>
      </c>
      <c r="G42" s="11">
        <v>51064160</v>
      </c>
      <c r="H42" s="1">
        <f>+H$227*G42</f>
        <v>64267053.89353419</v>
      </c>
      <c r="I42" s="11">
        <v>51247629</v>
      </c>
      <c r="J42" s="1">
        <f>+J$227*I42</f>
        <v>53022008.371278115</v>
      </c>
      <c r="K42" s="11">
        <v>112599308</v>
      </c>
      <c r="L42" s="1">
        <f>+L$227*K42</f>
        <v>124451072.9286812</v>
      </c>
      <c r="M42" s="11">
        <v>68634989</v>
      </c>
      <c r="N42" s="1">
        <f>+N$227*M42</f>
        <v>76763184.11520123</v>
      </c>
      <c r="O42" s="11">
        <v>84965217</v>
      </c>
      <c r="P42" s="1">
        <f>+P$227*O42</f>
        <v>96487356.22644533</v>
      </c>
      <c r="Q42" s="11">
        <v>84412190</v>
      </c>
      <c r="R42" s="1">
        <f>+R$227*Q42</f>
        <v>91448199.48616199</v>
      </c>
      <c r="S42" s="11">
        <v>17617416</v>
      </c>
      <c r="T42" s="1">
        <f>+T$227*S42</f>
        <v>20678160.72518626</v>
      </c>
      <c r="U42" s="11">
        <v>25323182</v>
      </c>
      <c r="V42" s="1">
        <f>+V$227*U42</f>
        <v>27019048.694844555</v>
      </c>
      <c r="W42" s="11">
        <v>9363957</v>
      </c>
      <c r="X42" s="1">
        <f>+X$227*W42</f>
        <v>10505760.027912987</v>
      </c>
      <c r="Y42" s="11">
        <v>49321345</v>
      </c>
      <c r="Z42" s="1">
        <f>+Z$227*Y42</f>
        <v>54969184.02213908</v>
      </c>
      <c r="AA42">
        <f>+F42+H42+J42+L42+N42+P42+R42+T42+V42+X42+Z42</f>
        <v>620749356.1114293</v>
      </c>
    </row>
    <row r="43" spans="1:26" ht="12.75">
      <c r="A43" s="1" t="s">
        <v>23</v>
      </c>
      <c r="B43" s="1"/>
      <c r="C43" s="1"/>
      <c r="D43" s="1">
        <f>D42/(D41*12)</f>
        <v>2397.6904949572563</v>
      </c>
      <c r="E43" s="11"/>
      <c r="F43" s="1">
        <f>F42/(F41*12)</f>
        <v>2563.972048618235</v>
      </c>
      <c r="G43" s="11"/>
      <c r="H43" s="1">
        <f>H42/(H41*12)</f>
        <v>2671.6331957092284</v>
      </c>
      <c r="I43" s="11"/>
      <c r="J43" s="1">
        <f>J42/(J41*12)</f>
        <v>2587.447753465562</v>
      </c>
      <c r="K43" s="11"/>
      <c r="L43" s="1">
        <f>L42/(L41*12)</f>
        <v>2319.2114295897554</v>
      </c>
      <c r="M43" s="11"/>
      <c r="N43" s="1">
        <f>N42/(N41*12)</f>
        <v>2166.4303518146944</v>
      </c>
      <c r="O43" s="11"/>
      <c r="P43" s="1">
        <f>P42/(P41*12)</f>
        <v>3562.275268531447</v>
      </c>
      <c r="Q43" s="11"/>
      <c r="R43" s="1">
        <f>R42/(R41*12)</f>
        <v>2975.119064799431</v>
      </c>
      <c r="S43" s="11"/>
      <c r="T43" s="1">
        <f>T42/(T41*12)</f>
        <v>1637.127467142635</v>
      </c>
      <c r="U43" s="11"/>
      <c r="V43" s="1">
        <f>V42/(V41*12)</f>
        <v>924.0685651241535</v>
      </c>
      <c r="W43" s="11"/>
      <c r="X43" s="1">
        <f>X42/(X41*12)</f>
        <v>2013.4283432996456</v>
      </c>
      <c r="Y43" s="11"/>
      <c r="Z43" s="1">
        <f>Z42/(Z41*12)</f>
        <v>2762.5434184230658</v>
      </c>
    </row>
    <row r="44" spans="1:26" ht="12.75">
      <c r="A44" s="1"/>
      <c r="B44" s="1"/>
      <c r="C44" s="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6" spans="12:26" ht="12.75">
      <c r="L46" s="1" t="s">
        <v>196</v>
      </c>
      <c r="R46" s="1"/>
      <c r="Z46" s="1"/>
    </row>
    <row r="47" spans="14:26" ht="12.75">
      <c r="N47" s="1" t="s">
        <v>189</v>
      </c>
      <c r="Z47" s="1"/>
    </row>
    <row r="48" spans="14:26" ht="12.75">
      <c r="N48" s="1"/>
      <c r="Z48" s="1"/>
    </row>
    <row r="49" spans="1:26" ht="12.75">
      <c r="A49" s="1"/>
      <c r="B49" s="1"/>
      <c r="C49" s="1"/>
      <c r="D49" s="1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"/>
      <c r="D50" s="2"/>
      <c r="E50" s="11"/>
      <c r="F50" s="1"/>
      <c r="G50" s="11"/>
      <c r="H50" s="1"/>
      <c r="I50" s="11"/>
      <c r="J50" s="1"/>
      <c r="K50" s="11"/>
      <c r="L50" s="1" t="s">
        <v>124</v>
      </c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"/>
      <c r="D51" s="1"/>
      <c r="E51" s="11"/>
      <c r="F51" s="1"/>
      <c r="G51" s="11"/>
      <c r="H51" s="1"/>
      <c r="I51" s="11"/>
      <c r="J51" s="1"/>
      <c r="K51" s="11"/>
      <c r="L51" s="1" t="s">
        <v>187</v>
      </c>
      <c r="M51" s="11"/>
      <c r="N51" s="1"/>
      <c r="O51" s="11"/>
      <c r="P51" s="2" t="s">
        <v>128</v>
      </c>
      <c r="Q51" s="12"/>
      <c r="R51" s="1" t="s">
        <v>129</v>
      </c>
      <c r="S51" s="11"/>
      <c r="T51" s="2" t="s">
        <v>131</v>
      </c>
      <c r="U51" s="12"/>
      <c r="V51" s="2" t="s">
        <v>133</v>
      </c>
      <c r="W51" s="12"/>
      <c r="X51" s="2" t="s">
        <v>140</v>
      </c>
      <c r="Y51" s="12"/>
      <c r="Z51" s="1"/>
    </row>
    <row r="52" spans="1:26" ht="12.75">
      <c r="A52" s="1" t="s">
        <v>185</v>
      </c>
      <c r="B52" s="1"/>
      <c r="C52" s="1"/>
      <c r="D52" s="2" t="s">
        <v>184</v>
      </c>
      <c r="E52" s="12" t="s">
        <v>144</v>
      </c>
      <c r="F52" s="2" t="s">
        <v>7</v>
      </c>
      <c r="G52" s="11" t="s">
        <v>145</v>
      </c>
      <c r="H52" s="1" t="s">
        <v>8</v>
      </c>
      <c r="I52" s="11" t="s">
        <v>146</v>
      </c>
      <c r="J52" s="2" t="s">
        <v>9</v>
      </c>
      <c r="K52" s="11" t="s">
        <v>147</v>
      </c>
      <c r="L52" s="1" t="s">
        <v>125</v>
      </c>
      <c r="M52" s="11" t="s">
        <v>148</v>
      </c>
      <c r="N52" s="2" t="s">
        <v>126</v>
      </c>
      <c r="O52" s="12" t="s">
        <v>149</v>
      </c>
      <c r="P52" s="2" t="s">
        <v>127</v>
      </c>
      <c r="Q52" s="12" t="s">
        <v>150</v>
      </c>
      <c r="R52" s="1" t="s">
        <v>130</v>
      </c>
      <c r="S52" s="11" t="s">
        <v>151</v>
      </c>
      <c r="T52" s="2" t="s">
        <v>132</v>
      </c>
      <c r="U52" s="12" t="s">
        <v>152</v>
      </c>
      <c r="V52" s="2" t="s">
        <v>134</v>
      </c>
      <c r="W52" s="12" t="s">
        <v>153</v>
      </c>
      <c r="X52" s="2" t="s">
        <v>141</v>
      </c>
      <c r="Y52" s="12" t="s">
        <v>154</v>
      </c>
      <c r="Z52" s="2" t="s">
        <v>94</v>
      </c>
    </row>
    <row r="54" spans="1:26" ht="12.75">
      <c r="A54" s="1" t="s">
        <v>79</v>
      </c>
      <c r="B54" s="1"/>
      <c r="C54" s="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7" ht="12.75">
      <c r="A55" s="1" t="s">
        <v>18</v>
      </c>
      <c r="B55" s="1"/>
      <c r="C55" s="1">
        <f aca="true" t="shared" si="7" ref="C55:D57">+E55+G55+I55+K55+M55+O55+Q55+S55+U55+W55+Y55</f>
        <v>362</v>
      </c>
      <c r="D55" s="1">
        <f t="shared" si="7"/>
        <v>486.9632419164583</v>
      </c>
      <c r="E55" s="11">
        <v>0</v>
      </c>
      <c r="F55" s="1">
        <f>+F$225*E55</f>
        <v>0</v>
      </c>
      <c r="G55" s="15">
        <v>127</v>
      </c>
      <c r="H55" s="1">
        <f>+H$225*G55</f>
        <v>199.15345568137445</v>
      </c>
      <c r="I55" s="11">
        <v>9</v>
      </c>
      <c r="J55" s="1">
        <f>+J$225*I55</f>
        <v>9.966644429619747</v>
      </c>
      <c r="K55" s="15">
        <v>48</v>
      </c>
      <c r="L55" s="1">
        <f>+L$225*K55</f>
        <v>65.8695878977569</v>
      </c>
      <c r="M55" s="11">
        <v>9</v>
      </c>
      <c r="N55" s="1">
        <f>+N$225*M55</f>
        <v>12.92809364548495</v>
      </c>
      <c r="O55" s="11">
        <v>35</v>
      </c>
      <c r="P55" s="1">
        <f>+P$225*O55</f>
        <v>40.45921544209216</v>
      </c>
      <c r="Q55" s="11">
        <v>48</v>
      </c>
      <c r="R55" s="1">
        <f>+R$225*Q55</f>
        <v>63.69407265774379</v>
      </c>
      <c r="S55" s="11">
        <v>34</v>
      </c>
      <c r="T55" s="1">
        <f>+T$225*S55</f>
        <v>37.12559343979284</v>
      </c>
      <c r="U55" s="11">
        <v>18</v>
      </c>
      <c r="V55" s="1">
        <f>+V$225*U55</f>
        <v>19.79414951245937</v>
      </c>
      <c r="W55" s="11">
        <v>25</v>
      </c>
      <c r="X55" s="1">
        <f>+X$225*W55</f>
        <v>28.169398907103826</v>
      </c>
      <c r="Y55" s="11">
        <v>9</v>
      </c>
      <c r="Z55" s="1">
        <f>+Z$225*Y55</f>
        <v>9.803030303030305</v>
      </c>
      <c r="AA55">
        <f>+F55+H55+J55+L55+N55+P55+R55+T55+V55+X55+Z55</f>
        <v>486.9632419164583</v>
      </c>
    </row>
    <row r="56" spans="1:27" ht="12.75">
      <c r="A56" s="1" t="s">
        <v>20</v>
      </c>
      <c r="B56" s="1"/>
      <c r="C56" s="1">
        <f t="shared" si="7"/>
        <v>3468</v>
      </c>
      <c r="D56" s="1">
        <f t="shared" si="7"/>
        <v>3940.2463070108524</v>
      </c>
      <c r="E56" s="11">
        <v>0</v>
      </c>
      <c r="F56" s="1">
        <f>+F$226*E56</f>
        <v>0</v>
      </c>
      <c r="G56" s="15">
        <v>567</v>
      </c>
      <c r="H56" s="1">
        <f>+H$226*G56</f>
        <v>732.3550093078355</v>
      </c>
      <c r="I56" s="11">
        <v>46</v>
      </c>
      <c r="J56" s="1">
        <f>+J$226*I56</f>
        <v>47.521300448430495</v>
      </c>
      <c r="K56" s="15">
        <v>922</v>
      </c>
      <c r="L56" s="1">
        <f>+L$226*K56</f>
        <v>988.9539794661953</v>
      </c>
      <c r="M56" s="11">
        <v>10</v>
      </c>
      <c r="N56" s="1">
        <f>+N$226*M56</f>
        <v>11.418222003929273</v>
      </c>
      <c r="O56" s="11">
        <v>365</v>
      </c>
      <c r="P56" s="1">
        <f>+P$226*O56</f>
        <v>434.2973891759587</v>
      </c>
      <c r="Q56" s="11">
        <v>244</v>
      </c>
      <c r="R56" s="1">
        <f>+R$226*Q56</f>
        <v>261.94429796972656</v>
      </c>
      <c r="S56" s="11">
        <v>211</v>
      </c>
      <c r="T56" s="1">
        <f>+T$226*S56</f>
        <v>243.52064341870448</v>
      </c>
      <c r="U56" s="11">
        <v>322</v>
      </c>
      <c r="V56" s="1">
        <f>+V$226*U56</f>
        <v>342.61391744204934</v>
      </c>
      <c r="W56" s="11">
        <v>104</v>
      </c>
      <c r="X56" s="1">
        <f>+X$226*W56</f>
        <v>116.54983584216069</v>
      </c>
      <c r="Y56" s="11">
        <v>677</v>
      </c>
      <c r="Z56" s="1">
        <f>+Z$226*Y56</f>
        <v>761.0717119358628</v>
      </c>
      <c r="AA56">
        <f>+F56+H56+J56+L56+N56+P56+R56+T56+V56+X56+Z56</f>
        <v>3940.2463070108524</v>
      </c>
    </row>
    <row r="57" spans="1:27" ht="12.75">
      <c r="A57" s="1" t="s">
        <v>21</v>
      </c>
      <c r="B57" s="1"/>
      <c r="C57" s="1">
        <f t="shared" si="7"/>
        <v>94761165</v>
      </c>
      <c r="D57" s="1">
        <f t="shared" si="7"/>
        <v>107651189.11026575</v>
      </c>
      <c r="E57" s="11">
        <v>0</v>
      </c>
      <c r="F57" s="1">
        <f>+F$227*E57</f>
        <v>0</v>
      </c>
      <c r="G57" s="15">
        <v>14780923</v>
      </c>
      <c r="H57" s="1">
        <f>+H$227*G57</f>
        <v>18602604.547635347</v>
      </c>
      <c r="I57" s="11">
        <v>1041028</v>
      </c>
      <c r="J57" s="1">
        <f>+J$227*I57</f>
        <v>1077072.176953492</v>
      </c>
      <c r="K57" s="15">
        <v>33161533</v>
      </c>
      <c r="L57" s="1">
        <f>+L$227*K57</f>
        <v>36651986.9003979</v>
      </c>
      <c r="M57" s="11">
        <v>255232</v>
      </c>
      <c r="N57" s="1">
        <f>+N$227*M57</f>
        <v>285458.2086126806</v>
      </c>
      <c r="O57" s="11">
        <v>15306183</v>
      </c>
      <c r="P57" s="1">
        <f>+P$227*O57</f>
        <v>17381855.584364146</v>
      </c>
      <c r="Q57" s="11">
        <v>4579266</v>
      </c>
      <c r="R57" s="1">
        <f>+R$227*Q57</f>
        <v>4960961.570458</v>
      </c>
      <c r="S57" s="11">
        <v>4241389</v>
      </c>
      <c r="T57" s="1">
        <f>+T$227*S57</f>
        <v>4978262.614678397</v>
      </c>
      <c r="U57" s="11">
        <v>3064992</v>
      </c>
      <c r="V57" s="1">
        <f>+V$227*U57</f>
        <v>3270251.2700540163</v>
      </c>
      <c r="W57" s="11">
        <v>1758784</v>
      </c>
      <c r="X57" s="1">
        <f>+X$227*W57</f>
        <v>1973243.004526069</v>
      </c>
      <c r="Y57" s="11">
        <v>16571835</v>
      </c>
      <c r="Z57" s="1">
        <f>+Z$227*Y57</f>
        <v>18469493.232585713</v>
      </c>
      <c r="AA57">
        <f>+F57+H57+J57+L57+N57+P57+R57+T57+V57+X57+Z57</f>
        <v>107651189.11026575</v>
      </c>
    </row>
    <row r="58" spans="1:26" ht="12.75">
      <c r="A58" s="1" t="s">
        <v>23</v>
      </c>
      <c r="B58" s="1"/>
      <c r="C58" s="1"/>
      <c r="D58" s="1">
        <f>D57/(D56*12)</f>
        <v>2276.7440730528856</v>
      </c>
      <c r="E58" s="11"/>
      <c r="F58" s="1"/>
      <c r="G58" s="15"/>
      <c r="H58" s="1">
        <f>H57/(H56*12)</f>
        <v>2116.756253366004</v>
      </c>
      <c r="I58" s="11"/>
      <c r="J58" s="1">
        <f>J57/(J56*12)</f>
        <v>1888.7533358546536</v>
      </c>
      <c r="K58" s="15"/>
      <c r="L58" s="1">
        <f>L57/(L56*12)</f>
        <v>3088.447293926106</v>
      </c>
      <c r="M58" s="11"/>
      <c r="N58" s="1">
        <f>N57/(N56*12)</f>
        <v>2083.3527359049995</v>
      </c>
      <c r="O58" s="11"/>
      <c r="P58" s="1">
        <f>P57/(P56*12)</f>
        <v>3335.2444694914193</v>
      </c>
      <c r="Q58" s="11"/>
      <c r="R58" s="1">
        <f>R57/(R56*12)</f>
        <v>1578.2495263653814</v>
      </c>
      <c r="S58" s="11"/>
      <c r="T58" s="1">
        <f>T57/(T56*12)</f>
        <v>1703.5731019179868</v>
      </c>
      <c r="U58" s="11"/>
      <c r="V58" s="1">
        <f>V57/(V56*12)</f>
        <v>795.4170140133405</v>
      </c>
      <c r="W58" s="11"/>
      <c r="X58" s="1">
        <f>X57/(X56*12)</f>
        <v>1410.8721462853896</v>
      </c>
      <c r="Y58" s="11"/>
      <c r="Z58" s="1">
        <f>Z57/(Z56*12)</f>
        <v>2022.3119739057058</v>
      </c>
    </row>
    <row r="59" spans="1:26" ht="12.75">
      <c r="A59" s="1"/>
      <c r="B59" s="1"/>
      <c r="C59" s="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 t="s">
        <v>89</v>
      </c>
      <c r="B60" s="1"/>
      <c r="C60" s="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7" ht="12.75">
      <c r="A61" s="1" t="s">
        <v>18</v>
      </c>
      <c r="B61" s="1"/>
      <c r="C61" s="1">
        <f aca="true" t="shared" si="8" ref="C61:D63">+E61+G61+I61+K61+M61+O61+Q61+S61+U61+W61+Y61</f>
        <v>2160</v>
      </c>
      <c r="D61" s="1">
        <f t="shared" si="8"/>
        <v>2772.464292977769</v>
      </c>
      <c r="E61" s="11">
        <v>2</v>
      </c>
      <c r="F61" s="1">
        <f>+F$225*E61</f>
        <v>3.7222222222222223</v>
      </c>
      <c r="G61" s="15">
        <v>287</v>
      </c>
      <c r="H61" s="1">
        <f>+H$225*G61</f>
        <v>450.05544709098007</v>
      </c>
      <c r="I61" s="11">
        <v>59</v>
      </c>
      <c r="J61" s="1">
        <f>+J$225*I61</f>
        <v>65.33689126084056</v>
      </c>
      <c r="K61" s="11">
        <v>479</v>
      </c>
      <c r="L61" s="1">
        <f>+L$225*K61</f>
        <v>657.3235958963658</v>
      </c>
      <c r="M61" s="15">
        <v>43</v>
      </c>
      <c r="N61" s="1">
        <f>+N$225*M61</f>
        <v>61.7675585284281</v>
      </c>
      <c r="O61" s="11">
        <v>300</v>
      </c>
      <c r="P61" s="1">
        <f>+P$225*O61</f>
        <v>346.7932752179328</v>
      </c>
      <c r="Q61" s="11">
        <v>428</v>
      </c>
      <c r="R61" s="1">
        <f>+R$225*Q61</f>
        <v>567.9388145315487</v>
      </c>
      <c r="S61" s="11">
        <v>220</v>
      </c>
      <c r="T61" s="1">
        <f>+T$225*S61</f>
        <v>240.224428139836</v>
      </c>
      <c r="U61" s="11">
        <v>150</v>
      </c>
      <c r="V61" s="1">
        <f>+V$225*U61</f>
        <v>164.95124593716142</v>
      </c>
      <c r="W61" s="11">
        <v>139</v>
      </c>
      <c r="X61" s="1">
        <f>+X$225*W61</f>
        <v>156.6218579234973</v>
      </c>
      <c r="Y61" s="11">
        <v>53</v>
      </c>
      <c r="Z61" s="1">
        <f>+Z$225*Y61</f>
        <v>57.728956228956235</v>
      </c>
      <c r="AA61">
        <f>+F61+H61+J61+L61+N61+P61+R61+T61+V61+X61+Z61</f>
        <v>2772.464292977769</v>
      </c>
    </row>
    <row r="62" spans="1:27" ht="12.75">
      <c r="A62" s="1" t="s">
        <v>20</v>
      </c>
      <c r="B62" s="1"/>
      <c r="C62" s="1">
        <f t="shared" si="8"/>
        <v>30747</v>
      </c>
      <c r="D62" s="1">
        <f t="shared" si="8"/>
        <v>34166.25134993122</v>
      </c>
      <c r="E62" s="11">
        <v>1</v>
      </c>
      <c r="F62" s="1">
        <f>+F$226*E62</f>
        <v>1.1561728395061728</v>
      </c>
      <c r="G62" s="15">
        <v>2144</v>
      </c>
      <c r="H62" s="1">
        <f>+H$226*G62</f>
        <v>2769.2577424268065</v>
      </c>
      <c r="I62" s="11">
        <v>2500</v>
      </c>
      <c r="J62" s="1">
        <f>+J$226*I62</f>
        <v>2582.6793721973095</v>
      </c>
      <c r="K62" s="11">
        <v>7655</v>
      </c>
      <c r="L62" s="1">
        <f>+L$226*K62</f>
        <v>8210.89231324699</v>
      </c>
      <c r="M62" s="15">
        <v>459</v>
      </c>
      <c r="N62" s="1">
        <f>+N$226*M62</f>
        <v>524.0963899803536</v>
      </c>
      <c r="O62" s="11">
        <v>2231</v>
      </c>
      <c r="P62" s="1">
        <f>+P$226*O62</f>
        <v>2654.5684253467502</v>
      </c>
      <c r="Q62" s="11">
        <v>3053</v>
      </c>
      <c r="R62" s="1">
        <f>+R$226*Q62</f>
        <v>3277.524351235964</v>
      </c>
      <c r="S62" s="11">
        <v>3263</v>
      </c>
      <c r="T62" s="1">
        <f>+T$226*S62</f>
        <v>3765.91402594897</v>
      </c>
      <c r="U62" s="11">
        <v>3825</v>
      </c>
      <c r="V62" s="1">
        <f>+V$226*U62</f>
        <v>4069.8702925957723</v>
      </c>
      <c r="W62" s="11">
        <v>888</v>
      </c>
      <c r="X62" s="1">
        <f>+X$226*W62</f>
        <v>995.1562906522951</v>
      </c>
      <c r="Y62" s="11">
        <v>4728</v>
      </c>
      <c r="Z62" s="1">
        <f>+Z$226*Y62</f>
        <v>5315.135973460501</v>
      </c>
      <c r="AA62">
        <f>+F62+H62+J62+L62+N62+P62+R62+T62+V62+X62+Z62</f>
        <v>34166.25134993122</v>
      </c>
    </row>
    <row r="63" spans="1:27" ht="12.75">
      <c r="A63" s="1" t="s">
        <v>21</v>
      </c>
      <c r="B63" s="1"/>
      <c r="C63" s="1">
        <f t="shared" si="8"/>
        <v>837900271</v>
      </c>
      <c r="D63" s="1">
        <f t="shared" si="8"/>
        <v>937036893.9992756</v>
      </c>
      <c r="E63" s="11">
        <v>15000</v>
      </c>
      <c r="F63" s="1">
        <f>+F$227*E63</f>
        <v>17069.281437790254</v>
      </c>
      <c r="G63" s="15">
        <v>75826395</v>
      </c>
      <c r="H63" s="1">
        <f>+H$227*G63</f>
        <v>95431688.56625491</v>
      </c>
      <c r="I63" s="11">
        <v>95618548</v>
      </c>
      <c r="J63" s="1">
        <f>+J$227*I63</f>
        <v>98929210.0226814</v>
      </c>
      <c r="K63" s="11">
        <v>187098535</v>
      </c>
      <c r="L63" s="1">
        <f>+L$227*K63</f>
        <v>206791798.61508927</v>
      </c>
      <c r="M63" s="15">
        <v>21253082</v>
      </c>
      <c r="N63" s="1">
        <f>+N$227*M63</f>
        <v>23770008.130714048</v>
      </c>
      <c r="O63" s="11">
        <v>77945903</v>
      </c>
      <c r="P63" s="1">
        <f>+P$227*O63</f>
        <v>88516152.54690579</v>
      </c>
      <c r="Q63" s="11">
        <v>111228272</v>
      </c>
      <c r="R63" s="1">
        <f>+R$227*Q63</f>
        <v>120499482.4368031</v>
      </c>
      <c r="S63" s="11">
        <v>89686262</v>
      </c>
      <c r="T63" s="1">
        <f>+T$227*S63</f>
        <v>105267817.96360856</v>
      </c>
      <c r="U63" s="11">
        <v>43593659</v>
      </c>
      <c r="V63" s="1">
        <f>+V$227*U63</f>
        <v>46513080.200878724</v>
      </c>
      <c r="W63" s="11">
        <f>18075919+13071</f>
        <v>18088990</v>
      </c>
      <c r="X63" s="1">
        <f>+X$227*W63</f>
        <v>20294688.24849556</v>
      </c>
      <c r="Y63" s="11">
        <v>117545625</v>
      </c>
      <c r="Z63" s="1">
        <f>+Z$227*Y63</f>
        <v>131005897.98640633</v>
      </c>
      <c r="AA63">
        <f>+F63+H63+J63+L63+N63+P63+R63+T63+V63+X63+Z63</f>
        <v>937036893.9992756</v>
      </c>
    </row>
    <row r="64" spans="1:26" ht="12.75">
      <c r="A64" s="1" t="s">
        <v>23</v>
      </c>
      <c r="B64" s="1"/>
      <c r="C64" s="1"/>
      <c r="D64" s="1">
        <f>D63/(D62*12)</f>
        <v>2285.4836204742187</v>
      </c>
      <c r="E64" s="11"/>
      <c r="F64" s="2" t="s">
        <v>32</v>
      </c>
      <c r="G64" s="15"/>
      <c r="H64" s="1">
        <f>H63/(H62*12)</f>
        <v>2871.758952594052</v>
      </c>
      <c r="I64" s="11"/>
      <c r="J64" s="1">
        <f>J63/(J62*12)</f>
        <v>3192.072900713757</v>
      </c>
      <c r="K64" s="11"/>
      <c r="L64" s="1">
        <f>L63/(L62*12)</f>
        <v>2098.7548279970238</v>
      </c>
      <c r="M64" s="15"/>
      <c r="N64" s="1">
        <f>N63/(N62*12)</f>
        <v>3779.5223336056397</v>
      </c>
      <c r="O64" s="11"/>
      <c r="P64" s="1">
        <f>P63/(P62*12)</f>
        <v>2778.736451147216</v>
      </c>
      <c r="Q64" s="11"/>
      <c r="R64" s="1">
        <f>R63/(R62*12)</f>
        <v>3063.7830448501572</v>
      </c>
      <c r="S64" s="11"/>
      <c r="T64" s="1">
        <f>T63/(T62*12)</f>
        <v>2329.3994773084382</v>
      </c>
      <c r="U64" s="11"/>
      <c r="V64" s="1">
        <f>V63/(V62*12)</f>
        <v>952.386621212863</v>
      </c>
      <c r="W64" s="11"/>
      <c r="X64" s="1">
        <f>X63/(X62*12)</f>
        <v>1699.4556901202088</v>
      </c>
      <c r="Y64" s="11"/>
      <c r="Z64" s="1">
        <f>Z63/(Z62*12)</f>
        <v>2053.9753300847497</v>
      </c>
    </row>
    <row r="65" spans="1:26" ht="12.75">
      <c r="A65" s="1"/>
      <c r="B65" s="1"/>
      <c r="C65" s="1"/>
      <c r="D65" s="1"/>
      <c r="E65" s="11"/>
      <c r="F65" s="1"/>
      <c r="G65" s="11"/>
      <c r="H65" s="1"/>
      <c r="I65" s="11"/>
      <c r="J65" s="1"/>
      <c r="K65" s="11"/>
      <c r="T65" s="1"/>
      <c r="U65" s="11"/>
      <c r="V65" s="1"/>
      <c r="W65" s="11"/>
      <c r="X65" s="1"/>
      <c r="Y65" s="11"/>
      <c r="Z65" s="1"/>
    </row>
    <row r="66" spans="1:26" ht="12.75">
      <c r="A66" s="1" t="s">
        <v>97</v>
      </c>
      <c r="B66" s="1"/>
      <c r="C66" s="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7" ht="12.75">
      <c r="A67" s="1" t="s">
        <v>18</v>
      </c>
      <c r="B67" s="1"/>
      <c r="C67" s="1">
        <f aca="true" t="shared" si="9" ref="C67:D69">+E67+G67+I67+K67+M67+O67+Q67+S67+U67+W67+Y67</f>
        <v>1034</v>
      </c>
      <c r="D67" s="1">
        <f t="shared" si="9"/>
        <v>1332.900245532487</v>
      </c>
      <c r="E67" s="11">
        <v>0</v>
      </c>
      <c r="F67" s="1">
        <f>+F$225*E67</f>
        <v>0</v>
      </c>
      <c r="G67" s="11">
        <v>209</v>
      </c>
      <c r="H67" s="1">
        <f>+H$225*G67</f>
        <v>327.7407262787973</v>
      </c>
      <c r="I67" s="11">
        <v>67</v>
      </c>
      <c r="J67" s="1">
        <f>+J$225*I67</f>
        <v>74.19613075383589</v>
      </c>
      <c r="K67" s="11">
        <v>216</v>
      </c>
      <c r="L67" s="1">
        <f>+L$225*K67</f>
        <v>296.4131455399061</v>
      </c>
      <c r="M67" s="11">
        <v>11</v>
      </c>
      <c r="N67" s="1">
        <f>+N$225*M67</f>
        <v>15.801003344481606</v>
      </c>
      <c r="O67" s="11">
        <v>111</v>
      </c>
      <c r="P67" s="1">
        <f>+P$225*O67</f>
        <v>128.31351183063512</v>
      </c>
      <c r="Q67" s="11">
        <v>123</v>
      </c>
      <c r="R67" s="1">
        <f>+R$225*Q67</f>
        <v>163.21606118546845</v>
      </c>
      <c r="S67" s="11">
        <v>109</v>
      </c>
      <c r="T67" s="1">
        <f>+T$225*S67</f>
        <v>119.02028485110056</v>
      </c>
      <c r="U67" s="11">
        <v>87</v>
      </c>
      <c r="V67" s="1">
        <f>+V$225*U67</f>
        <v>95.67172264355362</v>
      </c>
      <c r="W67" s="11">
        <v>67</v>
      </c>
      <c r="X67" s="1">
        <f>+X$225*W67</f>
        <v>75.49398907103826</v>
      </c>
      <c r="Y67" s="11">
        <v>34</v>
      </c>
      <c r="Z67" s="1">
        <f>+Z$225*Y67</f>
        <v>37.033670033670035</v>
      </c>
      <c r="AA67">
        <f>+F67+H67+J67+L67+N67+P67+R67+T67+V67+X67+Z67</f>
        <v>1332.900245532487</v>
      </c>
    </row>
    <row r="68" spans="1:27" ht="12.75">
      <c r="A68" s="1" t="s">
        <v>20</v>
      </c>
      <c r="B68" s="1"/>
      <c r="C68" s="1">
        <f t="shared" si="9"/>
        <v>15245</v>
      </c>
      <c r="D68" s="1">
        <f t="shared" si="9"/>
        <v>16936.04851486842</v>
      </c>
      <c r="E68" s="11">
        <v>0</v>
      </c>
      <c r="F68" s="1">
        <f>+F$226*E68</f>
        <v>0</v>
      </c>
      <c r="G68" s="11">
        <v>1394</v>
      </c>
      <c r="H68" s="1">
        <f>+H$226*G68</f>
        <v>1800.5341851413098</v>
      </c>
      <c r="I68" s="11">
        <v>1201</v>
      </c>
      <c r="J68" s="1">
        <f>+J$226*I68</f>
        <v>1240.7191704035874</v>
      </c>
      <c r="K68" s="11">
        <v>4620</v>
      </c>
      <c r="L68" s="1">
        <f>+L$226*K68</f>
        <v>4955.496079320848</v>
      </c>
      <c r="M68" s="11">
        <v>222</v>
      </c>
      <c r="N68" s="1">
        <f>+N$226*M68</f>
        <v>253.48452848722985</v>
      </c>
      <c r="O68" s="11">
        <v>528</v>
      </c>
      <c r="P68" s="1">
        <f>+P$226*O68</f>
        <v>628.2438944791951</v>
      </c>
      <c r="Q68" s="11">
        <v>1234</v>
      </c>
      <c r="R68" s="1">
        <f>+R$226*Q68</f>
        <v>1324.7510807157482</v>
      </c>
      <c r="S68" s="11">
        <v>1702</v>
      </c>
      <c r="T68" s="1">
        <f>+T$226*S68</f>
        <v>1964.3229151594076</v>
      </c>
      <c r="U68" s="11">
        <v>1889</v>
      </c>
      <c r="V68" s="1">
        <f>+V$226*U68</f>
        <v>2009.9307144348795</v>
      </c>
      <c r="W68" s="11">
        <v>371</v>
      </c>
      <c r="X68" s="1">
        <f>+X$226*W68</f>
        <v>415.7691259369386</v>
      </c>
      <c r="Y68" s="11">
        <v>2084</v>
      </c>
      <c r="Z68" s="1">
        <f>+Z$226*Y68</f>
        <v>2342.7968207892736</v>
      </c>
      <c r="AA68">
        <f>+F68+H68+J68+L68+N68+P68+R68+T68+V68+X68+Z68</f>
        <v>16936.04851486842</v>
      </c>
    </row>
    <row r="69" spans="1:27" ht="12.75">
      <c r="A69" s="1" t="s">
        <v>21</v>
      </c>
      <c r="B69" s="1"/>
      <c r="C69" s="1">
        <f t="shared" si="9"/>
        <v>346336577</v>
      </c>
      <c r="D69" s="1">
        <f t="shared" si="9"/>
        <v>388457737.37852466</v>
      </c>
      <c r="E69" s="11">
        <v>0</v>
      </c>
      <c r="F69" s="1">
        <f>+F$227*E69</f>
        <v>0</v>
      </c>
      <c r="G69" s="11">
        <v>36487774</v>
      </c>
      <c r="H69" s="1">
        <f>+H$227*G69</f>
        <v>45921870.409952804</v>
      </c>
      <c r="I69" s="11">
        <v>35455272</v>
      </c>
      <c r="J69" s="1">
        <f>+J$227*I69</f>
        <v>36682862.51428222</v>
      </c>
      <c r="K69" s="11">
        <v>92450958</v>
      </c>
      <c r="L69" s="1">
        <f>+L$227*K69</f>
        <v>102181986.0241454</v>
      </c>
      <c r="M69" s="11">
        <v>2655296</v>
      </c>
      <c r="N69" s="1">
        <f>+N$227*M69</f>
        <v>2969753.1637741993</v>
      </c>
      <c r="O69" s="11">
        <v>15055862</v>
      </c>
      <c r="P69" s="1">
        <f>+P$227*O69</f>
        <v>17097588.535437997</v>
      </c>
      <c r="Q69" s="11">
        <v>31313175</v>
      </c>
      <c r="R69" s="1">
        <f>+R$227*Q69</f>
        <v>33923222.15482267</v>
      </c>
      <c r="S69" s="11">
        <v>40986735</v>
      </c>
      <c r="T69" s="1">
        <f>+T$227*S69</f>
        <v>48107525.75352804</v>
      </c>
      <c r="U69" s="11">
        <v>19932184</v>
      </c>
      <c r="V69" s="1">
        <f>+V$227*U69</f>
        <v>21267021.26496589</v>
      </c>
      <c r="W69" s="11">
        <v>8332591</v>
      </c>
      <c r="X69" s="1">
        <f>+X$227*W69</f>
        <v>9348633.43101079</v>
      </c>
      <c r="Y69" s="11">
        <v>63666730</v>
      </c>
      <c r="Z69" s="1">
        <f>+Z$227*Y69</f>
        <v>70957274.12660468</v>
      </c>
      <c r="AA69">
        <f>+F69+H69+J69+L69+N69+P69+R69+T69+V69+X69+Z69</f>
        <v>388457737.37852466</v>
      </c>
    </row>
    <row r="70" spans="1:26" ht="12.75">
      <c r="A70" s="1" t="s">
        <v>23</v>
      </c>
      <c r="B70" s="1"/>
      <c r="C70" s="1"/>
      <c r="D70" s="1">
        <f>D69/(D68*12)</f>
        <v>1911.3949801488602</v>
      </c>
      <c r="E70" s="11"/>
      <c r="F70" s="1"/>
      <c r="G70" s="11"/>
      <c r="H70" s="1">
        <f>H69/(H68*12)</f>
        <v>2125.381770445195</v>
      </c>
      <c r="I70" s="11"/>
      <c r="J70" s="1">
        <f>J69/(J68*12)</f>
        <v>2463.817181553786</v>
      </c>
      <c r="K70" s="11"/>
      <c r="L70" s="1">
        <f>L69/(L68*12)</f>
        <v>1718.3275631163694</v>
      </c>
      <c r="M70" s="11"/>
      <c r="N70" s="1">
        <f>N69/(N68*12)</f>
        <v>976.3098039610107</v>
      </c>
      <c r="O70" s="11"/>
      <c r="P70" s="1">
        <f>P69/(P68*12)</f>
        <v>2267.907507164826</v>
      </c>
      <c r="Q70" s="11"/>
      <c r="R70" s="1">
        <f>R69/(R68*12)</f>
        <v>2133.9368736662545</v>
      </c>
      <c r="S70" s="11"/>
      <c r="T70" s="1">
        <f>T69/(T68*12)</f>
        <v>2040.8866834073142</v>
      </c>
      <c r="U70" s="11"/>
      <c r="V70" s="1">
        <f>V69/(V68*12)</f>
        <v>881.7476937650483</v>
      </c>
      <c r="W70" s="11"/>
      <c r="X70" s="1">
        <f>X69/(X68*12)</f>
        <v>1873.762954769585</v>
      </c>
      <c r="Y70" s="11"/>
      <c r="Z70" s="1">
        <f>Z69/(Z68*12)</f>
        <v>2523.9517677102567</v>
      </c>
    </row>
    <row r="71" spans="1:26" ht="12.75">
      <c r="A71" s="1"/>
      <c r="B71" s="1"/>
      <c r="C71" s="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 t="s">
        <v>102</v>
      </c>
      <c r="B72" s="1"/>
      <c r="C72" s="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7" ht="12.75">
      <c r="A73" s="1" t="s">
        <v>18</v>
      </c>
      <c r="B73" s="1"/>
      <c r="C73" s="1">
        <f aca="true" t="shared" si="10" ref="C73:D75">+E73+G73+I73+K73+M73+O73+Q73+S73+U73+W73+Y73</f>
        <v>2634</v>
      </c>
      <c r="D73" s="1">
        <f t="shared" si="10"/>
        <v>3318.9676688817717</v>
      </c>
      <c r="E73" s="11">
        <v>8</v>
      </c>
      <c r="F73" s="1">
        <f>+F$225*E73</f>
        <v>14.88888888888889</v>
      </c>
      <c r="G73" s="11">
        <v>55</v>
      </c>
      <c r="H73" s="1">
        <f>+H$225*G73</f>
        <v>86.24755954705192</v>
      </c>
      <c r="I73" s="11">
        <v>84</v>
      </c>
      <c r="J73" s="1">
        <f>+J$225*I73</f>
        <v>93.02201467645096</v>
      </c>
      <c r="K73" s="11">
        <v>520</v>
      </c>
      <c r="L73" s="1">
        <f>+L$225*K73</f>
        <v>713.5872022256998</v>
      </c>
      <c r="M73" s="11">
        <v>99</v>
      </c>
      <c r="N73" s="1">
        <f>+N$225*M73</f>
        <v>142.20903010033445</v>
      </c>
      <c r="O73" s="11">
        <v>404</v>
      </c>
      <c r="P73" s="1">
        <f>+P$225*O73</f>
        <v>467.0149439601495</v>
      </c>
      <c r="Q73" s="11">
        <v>825</v>
      </c>
      <c r="R73" s="1">
        <f>+R$225*Q73</f>
        <v>1094.7418738049712</v>
      </c>
      <c r="S73" s="11">
        <v>81</v>
      </c>
      <c r="T73" s="1">
        <f>+T$225*S73</f>
        <v>88.44626672421234</v>
      </c>
      <c r="U73" s="11">
        <v>275</v>
      </c>
      <c r="V73" s="1">
        <f>+V$225*U73</f>
        <v>302.4106175514626</v>
      </c>
      <c r="W73" s="11">
        <v>217</v>
      </c>
      <c r="X73" s="1">
        <f>+X$225*W73</f>
        <v>244.51038251366123</v>
      </c>
      <c r="Y73" s="11">
        <v>66</v>
      </c>
      <c r="Z73" s="1">
        <f>+Z$225*Y73</f>
        <v>71.8888888888889</v>
      </c>
      <c r="AA73">
        <f>+F73+H73+J73+L73+N73+P73+R73+T73+V73+X73+Z73</f>
        <v>3318.9676688817717</v>
      </c>
    </row>
    <row r="74" spans="1:27" ht="12.75">
      <c r="A74" s="1" t="s">
        <v>20</v>
      </c>
      <c r="B74" s="1"/>
      <c r="C74" s="1">
        <f t="shared" si="10"/>
        <v>58515</v>
      </c>
      <c r="D74" s="1">
        <f t="shared" si="10"/>
        <v>64454.87224305459</v>
      </c>
      <c r="E74" s="11">
        <v>136</v>
      </c>
      <c r="F74" s="1">
        <f>+F$226*E74</f>
        <v>157.2395061728395</v>
      </c>
      <c r="G74" s="11">
        <v>484</v>
      </c>
      <c r="H74" s="1">
        <f>+H$226*G74</f>
        <v>625.1496023015739</v>
      </c>
      <c r="I74" s="11">
        <v>2296</v>
      </c>
      <c r="J74" s="1">
        <f>+J$226*I74</f>
        <v>2371.932735426009</v>
      </c>
      <c r="K74" s="11">
        <v>9111</v>
      </c>
      <c r="L74" s="1">
        <f>+L$226*K74</f>
        <v>9772.624410972348</v>
      </c>
      <c r="M74" s="11">
        <v>3392</v>
      </c>
      <c r="N74" s="1">
        <f>+N$226*M74</f>
        <v>3873.060903732809</v>
      </c>
      <c r="O74" s="11">
        <v>8259</v>
      </c>
      <c r="P74" s="1">
        <f>+P$226*O74</f>
        <v>9827.019553984226</v>
      </c>
      <c r="Q74" s="11">
        <v>14841</v>
      </c>
      <c r="R74" s="1">
        <f>+R$226*Q74</f>
        <v>15932.43986134718</v>
      </c>
      <c r="S74" s="11">
        <v>1225</v>
      </c>
      <c r="T74" s="1">
        <f>+T$226*S74</f>
        <v>1413.804683355038</v>
      </c>
      <c r="U74" s="11">
        <v>10180</v>
      </c>
      <c r="V74" s="1">
        <f>+V$226*U74</f>
        <v>10831.707079379075</v>
      </c>
      <c r="W74" s="11">
        <v>2267</v>
      </c>
      <c r="X74" s="1">
        <f>+X$226*W74</f>
        <v>2540.5622870594066</v>
      </c>
      <c r="Y74" s="11">
        <v>6324</v>
      </c>
      <c r="Z74" s="1">
        <f>+Z$226*Y74</f>
        <v>7109.331619324072</v>
      </c>
      <c r="AA74">
        <f>+F74+H74+J74+L74+N74+P74+R74+T74+V74+X74+Z74</f>
        <v>64454.87224305459</v>
      </c>
    </row>
    <row r="75" spans="1:27" ht="12.75">
      <c r="A75" s="1" t="s">
        <v>21</v>
      </c>
      <c r="B75" s="1"/>
      <c r="C75" s="1">
        <f t="shared" si="10"/>
        <v>2572936137</v>
      </c>
      <c r="D75" s="1">
        <f t="shared" si="10"/>
        <v>2835522135.2649508</v>
      </c>
      <c r="E75" s="11">
        <v>9557003</v>
      </c>
      <c r="F75" s="1">
        <f>+F$227*E75</f>
        <v>10875411.593920385</v>
      </c>
      <c r="G75" s="11">
        <v>22173003</v>
      </c>
      <c r="H75" s="1">
        <f>+H$227*G75</f>
        <v>27905943.79272067</v>
      </c>
      <c r="I75" s="11">
        <v>93552572</v>
      </c>
      <c r="J75" s="1">
        <f>+J$227*I75</f>
        <v>96791702.41687861</v>
      </c>
      <c r="K75" s="11">
        <v>379788430</v>
      </c>
      <c r="L75" s="1">
        <f>+L$227*K75</f>
        <v>419763482.0224591</v>
      </c>
      <c r="M75" s="11">
        <v>149295752</v>
      </c>
      <c r="N75" s="1">
        <f>+N$227*M75</f>
        <v>166976311.43196398</v>
      </c>
      <c r="O75" s="11">
        <v>490590066</v>
      </c>
      <c r="P75" s="1">
        <f>+P$227*O75</f>
        <v>557119020.3550863</v>
      </c>
      <c r="Q75" s="11">
        <v>769522985</v>
      </c>
      <c r="R75" s="1">
        <f>+R$227*Q75</f>
        <v>833665036.3113058</v>
      </c>
      <c r="S75" s="11">
        <v>33034193</v>
      </c>
      <c r="T75" s="1">
        <f>+T$227*S75</f>
        <v>38773356.562666334</v>
      </c>
      <c r="U75" s="11">
        <v>291016720</v>
      </c>
      <c r="V75" s="1">
        <f>+V$227*U75</f>
        <v>310505801.7074609</v>
      </c>
      <c r="W75" s="11">
        <v>60275663</v>
      </c>
      <c r="X75" s="1">
        <f>+X$227*W75</f>
        <v>67625433.45738919</v>
      </c>
      <c r="Y75" s="11">
        <v>274129750</v>
      </c>
      <c r="Z75" s="1">
        <f>+Z$227*Y75</f>
        <v>305520635.61309975</v>
      </c>
      <c r="AA75">
        <f>+F75+H75+J75+L75+N75+P75+R75+T75+V75+X75+Z75</f>
        <v>2835522135.2649508</v>
      </c>
    </row>
    <row r="76" spans="1:26" ht="12.75">
      <c r="A76" s="1" t="s">
        <v>23</v>
      </c>
      <c r="B76" s="1"/>
      <c r="C76" s="1"/>
      <c r="D76" s="1">
        <f>D75/(D74*12)</f>
        <v>3666.0302479699867</v>
      </c>
      <c r="E76" s="11"/>
      <c r="F76" s="1">
        <f>F75/(F74*12)</f>
        <v>5763.71881057148</v>
      </c>
      <c r="G76" s="11"/>
      <c r="H76" s="1">
        <f>H75/(H74*12)</f>
        <v>3719.9020962317286</v>
      </c>
      <c r="I76" s="11"/>
      <c r="J76" s="1">
        <f>J75/(J74*12)</f>
        <v>3400.591880594737</v>
      </c>
      <c r="K76" s="11"/>
      <c r="L76" s="1">
        <f>L75/(L74*12)</f>
        <v>3579.416203621174</v>
      </c>
      <c r="M76" s="11"/>
      <c r="N76" s="1">
        <f>N75/(N74*12)</f>
        <v>3592.6862409830733</v>
      </c>
      <c r="O76" s="11"/>
      <c r="P76" s="1">
        <f>P75/(P74*12)</f>
        <v>4724.381057201369</v>
      </c>
      <c r="Q76" s="11"/>
      <c r="R76" s="1">
        <f>R75/(R74*12)</f>
        <v>4360.4172972789875</v>
      </c>
      <c r="S76" s="11"/>
      <c r="T76" s="1">
        <f>T75/(T74*12)</f>
        <v>2285.402704439519</v>
      </c>
      <c r="U76" s="11"/>
      <c r="V76" s="1">
        <f>V75/(V74*12)</f>
        <v>2388.8647732066484</v>
      </c>
      <c r="W76" s="11"/>
      <c r="X76" s="1">
        <f>X75/(X74*12)</f>
        <v>2218.1911527304314</v>
      </c>
      <c r="Y76" s="11"/>
      <c r="Z76" s="1">
        <f>Z75/(Z74*12)</f>
        <v>3581.2161158096264</v>
      </c>
    </row>
    <row r="77" spans="1:26" ht="12.75">
      <c r="A77" s="1"/>
      <c r="B77" s="1"/>
      <c r="C77" s="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 t="s">
        <v>157</v>
      </c>
      <c r="B78" s="1"/>
      <c r="C78" s="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7" ht="12.75">
      <c r="A79" s="1" t="s">
        <v>18</v>
      </c>
      <c r="B79" s="1"/>
      <c r="C79" s="1">
        <f aca="true" t="shared" si="11" ref="C79:D81">+E79+G79+I79+K79+M79+O79+Q79+S79+U79+W79+Y79</f>
        <v>636</v>
      </c>
      <c r="D79" s="1">
        <f t="shared" si="11"/>
        <v>838.7506785072374</v>
      </c>
      <c r="E79" s="11">
        <v>0</v>
      </c>
      <c r="F79" s="1">
        <f>+F$225*E79</f>
        <v>0</v>
      </c>
      <c r="G79" s="11">
        <v>155</v>
      </c>
      <c r="H79" s="1">
        <f>+H$225*G79</f>
        <v>243.06130417805542</v>
      </c>
      <c r="I79" s="11">
        <v>58</v>
      </c>
      <c r="J79" s="1">
        <f>+J$225*I79</f>
        <v>64.22948632421614</v>
      </c>
      <c r="K79" s="11">
        <v>106</v>
      </c>
      <c r="L79" s="1">
        <f>+L$225*K79</f>
        <v>145.4620066075465</v>
      </c>
      <c r="M79" s="11">
        <v>15</v>
      </c>
      <c r="N79" s="1">
        <f>+N$225*M79</f>
        <v>21.546822742474916</v>
      </c>
      <c r="O79" s="11">
        <v>69</v>
      </c>
      <c r="P79" s="1">
        <f>+P$225*O79</f>
        <v>79.76245330012453</v>
      </c>
      <c r="Q79" s="11">
        <v>124</v>
      </c>
      <c r="R79" s="1">
        <f>+R$225*Q79</f>
        <v>164.54302103250478</v>
      </c>
      <c r="S79" s="11">
        <v>42</v>
      </c>
      <c r="T79" s="1">
        <f>+T$225*S79</f>
        <v>45.86102719033232</v>
      </c>
      <c r="U79" s="11">
        <v>28</v>
      </c>
      <c r="V79" s="1">
        <f>+V$225*U79</f>
        <v>30.790899241603466</v>
      </c>
      <c r="W79" s="11">
        <v>27</v>
      </c>
      <c r="X79" s="1">
        <f>+X$225*W79</f>
        <v>30.42295081967213</v>
      </c>
      <c r="Y79" s="11">
        <v>12</v>
      </c>
      <c r="Z79" s="1">
        <f>+Z$225*Y79</f>
        <v>13.070707070707073</v>
      </c>
      <c r="AA79">
        <f>+F79+H79+J79+L79+N79+P79+R79+T79+V79+X79+Z79</f>
        <v>838.7506785072374</v>
      </c>
    </row>
    <row r="80" spans="1:27" ht="12.75">
      <c r="A80" s="1" t="s">
        <v>20</v>
      </c>
      <c r="B80" s="1"/>
      <c r="C80" s="1">
        <f t="shared" si="11"/>
        <v>9542</v>
      </c>
      <c r="D80" s="1">
        <f t="shared" si="11"/>
        <v>10545.493643849444</v>
      </c>
      <c r="E80" s="11">
        <v>0</v>
      </c>
      <c r="F80" s="1">
        <f>+F$226*E80</f>
        <v>0</v>
      </c>
      <c r="G80" s="11">
        <v>1065</v>
      </c>
      <c r="H80" s="1">
        <f>+H$226*G80</f>
        <v>1375.5874513454053</v>
      </c>
      <c r="I80" s="11">
        <v>2116</v>
      </c>
      <c r="J80" s="1">
        <f>+J$226*I80</f>
        <v>2185.979820627803</v>
      </c>
      <c r="K80" s="11">
        <v>1298</v>
      </c>
      <c r="L80" s="1">
        <f>+L$226*K80</f>
        <v>1392.2584222853811</v>
      </c>
      <c r="M80" s="11">
        <v>101</v>
      </c>
      <c r="N80" s="1">
        <f>+N$226*M80</f>
        <v>115.32404223968565</v>
      </c>
      <c r="O80" s="11">
        <v>547</v>
      </c>
      <c r="P80" s="1">
        <f>+P$226*O80</f>
        <v>650.85115583356</v>
      </c>
      <c r="Q80" s="11">
        <v>2507</v>
      </c>
      <c r="R80" s="1">
        <f>+R$226*Q80</f>
        <v>2691.370307418461</v>
      </c>
      <c r="S80" s="11">
        <v>549</v>
      </c>
      <c r="T80" s="1">
        <f>+T$226*S80</f>
        <v>633.6153233974823</v>
      </c>
      <c r="U80" s="11">
        <v>444</v>
      </c>
      <c r="V80" s="1">
        <f>+V$226*U80</f>
        <v>472.4241594542544</v>
      </c>
      <c r="W80" s="11">
        <v>155</v>
      </c>
      <c r="X80" s="1">
        <f>+X$226*W80</f>
        <v>173.7040822647587</v>
      </c>
      <c r="Y80" s="11">
        <v>760</v>
      </c>
      <c r="Z80" s="1">
        <f>+Z$226*Y80</f>
        <v>854.3788789826525</v>
      </c>
      <c r="AA80">
        <f>+F80+H80+J80+L80+N80+P80+R80+T80+V80+X80+Z80</f>
        <v>10545.493643849444</v>
      </c>
    </row>
    <row r="81" spans="1:27" ht="12.75">
      <c r="A81" s="1" t="s">
        <v>21</v>
      </c>
      <c r="B81" s="1"/>
      <c r="C81" s="1">
        <f t="shared" si="11"/>
        <v>297312559</v>
      </c>
      <c r="D81" s="1">
        <f t="shared" si="11"/>
        <v>328545241.3714383</v>
      </c>
      <c r="E81" s="11">
        <v>0</v>
      </c>
      <c r="F81" s="1">
        <f>+F$227*E81</f>
        <v>0</v>
      </c>
      <c r="G81" s="11">
        <v>34710903</v>
      </c>
      <c r="H81" s="1">
        <f>+H$227*G81</f>
        <v>43685580.52838307</v>
      </c>
      <c r="I81" s="11">
        <v>74998319</v>
      </c>
      <c r="J81" s="1">
        <f>+J$227*I81</f>
        <v>77595033.67169994</v>
      </c>
      <c r="K81" s="11">
        <v>44437213</v>
      </c>
      <c r="L81" s="1">
        <f>+L$227*K81</f>
        <v>49114501.09276284</v>
      </c>
      <c r="M81" s="11">
        <v>5185214</v>
      </c>
      <c r="N81" s="1">
        <f>+N$227*M81</f>
        <v>5799280.261540058</v>
      </c>
      <c r="O81" s="11">
        <v>22039086</v>
      </c>
      <c r="P81" s="1">
        <f>+P$227*O81</f>
        <v>25027808.047465634</v>
      </c>
      <c r="Q81" s="11">
        <v>75113228</v>
      </c>
      <c r="R81" s="1">
        <f>+R$227*Q81</f>
        <v>81374141.08310148</v>
      </c>
      <c r="S81" s="11">
        <v>11087362</v>
      </c>
      <c r="T81" s="1">
        <f>+T$227*S81</f>
        <v>13013614.110850455</v>
      </c>
      <c r="U81" s="11">
        <v>4869566</v>
      </c>
      <c r="V81" s="1">
        <f>+V$227*U81</f>
        <v>5195675.680756053</v>
      </c>
      <c r="W81" s="11">
        <v>2674522</v>
      </c>
      <c r="X81" s="1">
        <f>+X$227*W81</f>
        <v>3000642.3909650478</v>
      </c>
      <c r="Y81" s="11">
        <v>22197146</v>
      </c>
      <c r="Z81" s="1">
        <f>+Z$227*Y81</f>
        <v>24738964.50391384</v>
      </c>
      <c r="AA81">
        <f>+F81+H81+J81+L81+N81+P81+R81+T81+V81+X81+Z81</f>
        <v>328545241.3714383</v>
      </c>
    </row>
    <row r="82" spans="1:26" ht="12.75">
      <c r="A82" s="1" t="s">
        <v>23</v>
      </c>
      <c r="B82" s="1"/>
      <c r="C82" s="1"/>
      <c r="D82" s="1">
        <f>D81/(D80*12)</f>
        <v>2596.2530573668237</v>
      </c>
      <c r="E82" s="11"/>
      <c r="F82" s="1"/>
      <c r="G82" s="11"/>
      <c r="H82" s="1">
        <f>H81/(H80*12)</f>
        <v>2646.4802659193597</v>
      </c>
      <c r="I82" s="11"/>
      <c r="J82" s="1">
        <f>J81/(J80*12)</f>
        <v>2958.0569522905835</v>
      </c>
      <c r="K82" s="11"/>
      <c r="L82" s="1">
        <f>L81/(L80*12)</f>
        <v>2939.7380727244217</v>
      </c>
      <c r="M82" s="11"/>
      <c r="N82" s="1">
        <f>N81/(N80*12)</f>
        <v>4190.568989282555</v>
      </c>
      <c r="O82" s="11"/>
      <c r="P82" s="1">
        <f>P81/(P80*12)</f>
        <v>3204.4971448978918</v>
      </c>
      <c r="Q82" s="11"/>
      <c r="R82" s="1">
        <f>R81/(R80*12)</f>
        <v>2519.6006676971324</v>
      </c>
      <c r="S82" s="11"/>
      <c r="T82" s="1">
        <f>T81/(T80*12)</f>
        <v>1711.5555803731065</v>
      </c>
      <c r="U82" s="11"/>
      <c r="V82" s="1">
        <f>V81/(V80*12)</f>
        <v>916.4920225428548</v>
      </c>
      <c r="W82" s="11"/>
      <c r="X82" s="1">
        <f>X81/(X80*12)</f>
        <v>1439.5374554254317</v>
      </c>
      <c r="Y82" s="11"/>
      <c r="Z82" s="1">
        <f>Z81/(Z80*12)</f>
        <v>2412.958028387792</v>
      </c>
    </row>
    <row r="83" spans="1:26" ht="12.75">
      <c r="A83" s="1"/>
      <c r="B83" s="1"/>
      <c r="C83" s="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 t="s">
        <v>106</v>
      </c>
      <c r="B84" s="1"/>
      <c r="C84" s="1"/>
      <c r="D84" s="1"/>
      <c r="E84" s="11"/>
      <c r="F84" s="1"/>
      <c r="G84" s="11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7" ht="12.75">
      <c r="A85" s="1" t="s">
        <v>18</v>
      </c>
      <c r="B85" s="1"/>
      <c r="C85" s="1">
        <f aca="true" t="shared" si="12" ref="C85:D87">+E85+G85+I85+K85+M85+O85+Q85+S85+U85+W85+Y85</f>
        <v>867</v>
      </c>
      <c r="D85" s="1">
        <f t="shared" si="12"/>
        <v>1064.9452676711392</v>
      </c>
      <c r="E85" s="11">
        <v>1</v>
      </c>
      <c r="F85" s="1">
        <f>+F$225*E85</f>
        <v>1.8611111111111112</v>
      </c>
      <c r="G85" s="15">
        <v>23</v>
      </c>
      <c r="H85" s="1">
        <f>+H$225*G85</f>
        <v>36.06716126513081</v>
      </c>
      <c r="I85" s="11">
        <v>20</v>
      </c>
      <c r="J85" s="1">
        <f>+J$225*I85</f>
        <v>22.148098732488325</v>
      </c>
      <c r="K85" s="11">
        <v>159</v>
      </c>
      <c r="L85" s="1">
        <f>+L$225*K85</f>
        <v>218.19300991131976</v>
      </c>
      <c r="M85" s="11">
        <v>28</v>
      </c>
      <c r="N85" s="1">
        <f>+N$225*M85</f>
        <v>40.22073578595318</v>
      </c>
      <c r="O85" s="11">
        <v>122</v>
      </c>
      <c r="P85" s="1">
        <f>+P$225*O85</f>
        <v>141.02926525529267</v>
      </c>
      <c r="Q85" s="11">
        <v>177</v>
      </c>
      <c r="R85" s="1">
        <f>+R$225*Q85</f>
        <v>234.87189292543022</v>
      </c>
      <c r="S85" s="11">
        <v>192</v>
      </c>
      <c r="T85" s="1">
        <f>+T$225*S85</f>
        <v>209.65041001294776</v>
      </c>
      <c r="U85" s="11">
        <v>79</v>
      </c>
      <c r="V85" s="1">
        <f>+V$225*U85</f>
        <v>86.87432286023835</v>
      </c>
      <c r="W85" s="11">
        <v>57</v>
      </c>
      <c r="X85" s="1">
        <f>+X$225*W85</f>
        <v>64.22622950819672</v>
      </c>
      <c r="Y85" s="11">
        <v>9</v>
      </c>
      <c r="Z85" s="1">
        <f>+Z$225*Y85</f>
        <v>9.803030303030305</v>
      </c>
      <c r="AA85">
        <f>+F85+H85+J85+L85+N85+P85+R85+T85+V85+X85+Z85</f>
        <v>1064.9452676711392</v>
      </c>
    </row>
    <row r="86" spans="1:27" ht="12.75">
      <c r="A86" s="1" t="s">
        <v>20</v>
      </c>
      <c r="B86" s="1"/>
      <c r="C86" s="1">
        <f t="shared" si="12"/>
        <v>13791</v>
      </c>
      <c r="D86" s="1">
        <f t="shared" si="12"/>
        <v>15279.917789434361</v>
      </c>
      <c r="E86" s="11">
        <v>2</v>
      </c>
      <c r="F86" s="1">
        <f>+F$226*E86</f>
        <v>2.3123456790123456</v>
      </c>
      <c r="G86" s="15">
        <v>308</v>
      </c>
      <c r="H86" s="1">
        <f>+H$226*G86</f>
        <v>397.82247419191066</v>
      </c>
      <c r="I86" s="11">
        <v>293</v>
      </c>
      <c r="J86" s="1">
        <f>+J$226*I86</f>
        <v>302.6900224215247</v>
      </c>
      <c r="K86" s="11">
        <v>2563</v>
      </c>
      <c r="L86" s="1">
        <f>+L$226*K86</f>
        <v>2749.1204440041847</v>
      </c>
      <c r="M86" s="11">
        <v>402</v>
      </c>
      <c r="N86" s="1">
        <f>+N$226*M86</f>
        <v>459.01252455795674</v>
      </c>
      <c r="O86" s="11">
        <v>1435</v>
      </c>
      <c r="P86" s="1">
        <f>+P$226*O86</f>
        <v>1707.4431601849335</v>
      </c>
      <c r="Q86" s="11">
        <v>3153</v>
      </c>
      <c r="R86" s="1">
        <f>+R$226*Q86</f>
        <v>3384.87857171536</v>
      </c>
      <c r="S86" s="11">
        <v>1958</v>
      </c>
      <c r="T86" s="1">
        <f>+T$226*S86</f>
        <v>2259.7792408238074</v>
      </c>
      <c r="U86" s="11">
        <v>1925</v>
      </c>
      <c r="V86" s="1">
        <f>+V$226*U86</f>
        <v>2048.2353760122514</v>
      </c>
      <c r="W86" s="11">
        <v>269</v>
      </c>
      <c r="X86" s="1">
        <f>+X$226*W86</f>
        <v>301.4606330917425</v>
      </c>
      <c r="Y86" s="11">
        <v>1483</v>
      </c>
      <c r="Z86" s="1">
        <f>+Z$226*Y86</f>
        <v>1667.1629967516758</v>
      </c>
      <c r="AA86">
        <f>+F86+H86+J86+L86+N86+P86+R86+T86+V86+X86+Z86</f>
        <v>15279.917789434361</v>
      </c>
    </row>
    <row r="87" spans="1:27" ht="12.75">
      <c r="A87" s="1" t="s">
        <v>21</v>
      </c>
      <c r="B87" s="1"/>
      <c r="C87" s="1">
        <f t="shared" si="12"/>
        <v>445605658</v>
      </c>
      <c r="D87" s="1">
        <f t="shared" si="12"/>
        <v>497006186.3196408</v>
      </c>
      <c r="E87" s="11">
        <v>75651</v>
      </c>
      <c r="F87" s="1">
        <f>+F$227*E87</f>
        <v>86087.21400335137</v>
      </c>
      <c r="G87" s="15">
        <v>15224042</v>
      </c>
      <c r="H87" s="1">
        <f>+H$227*G87</f>
        <v>19160294.18072143</v>
      </c>
      <c r="I87" s="11">
        <v>8884565</v>
      </c>
      <c r="J87" s="1">
        <f>+J$227*I87</f>
        <v>9192180.96519479</v>
      </c>
      <c r="K87" s="11">
        <v>79904413</v>
      </c>
      <c r="L87" s="1">
        <f>+L$227*K87</f>
        <v>88314840.52802937</v>
      </c>
      <c r="M87" s="11">
        <v>25315194</v>
      </c>
      <c r="N87" s="1">
        <f>+N$227*M87</f>
        <v>28313181.458134092</v>
      </c>
      <c r="O87" s="11">
        <v>47430603</v>
      </c>
      <c r="P87" s="1">
        <f>+P$227*O87</f>
        <v>53862670.505462326</v>
      </c>
      <c r="Q87" s="11">
        <v>125147973</v>
      </c>
      <c r="R87" s="1">
        <f>+R$227*Q87</f>
        <v>135579432.30939528</v>
      </c>
      <c r="S87" s="11">
        <v>59586577</v>
      </c>
      <c r="T87" s="1">
        <f>+T$227*S87</f>
        <v>69938793.30939832</v>
      </c>
      <c r="U87" s="11">
        <v>24127375</v>
      </c>
      <c r="V87" s="1">
        <f>+V$227*U87</f>
        <v>25743159.76577411</v>
      </c>
      <c r="W87" s="11">
        <f>6077514+118960</f>
        <v>6196474</v>
      </c>
      <c r="X87" s="1">
        <f>+X$227*W87</f>
        <v>6952046.96723854</v>
      </c>
      <c r="Y87" s="11">
        <v>53712791</v>
      </c>
      <c r="Z87" s="1">
        <f>+Z$227*Y87</f>
        <v>59863499.11628921</v>
      </c>
      <c r="AA87">
        <f>+F87+H87+J87+L87+N87+P87+R87+T87+V87+X87+Z87</f>
        <v>497006186.3196408</v>
      </c>
    </row>
    <row r="88" spans="1:26" ht="12.75">
      <c r="A88" s="1" t="s">
        <v>23</v>
      </c>
      <c r="B88" s="1"/>
      <c r="C88" s="1"/>
      <c r="D88" s="1">
        <f>D87/(D86*12)</f>
        <v>2710.5631564289065</v>
      </c>
      <c r="E88" s="11"/>
      <c r="F88" s="2" t="s">
        <v>32</v>
      </c>
      <c r="G88" s="15"/>
      <c r="H88" s="1">
        <f>H87/(H86*12)</f>
        <v>4013.577123741223</v>
      </c>
      <c r="I88" s="11"/>
      <c r="J88" s="1">
        <f>J87/(J86*12)</f>
        <v>2530.6915447848824</v>
      </c>
      <c r="K88" s="11"/>
      <c r="L88" s="1">
        <f>L87/(L86*12)</f>
        <v>2677.0635168253993</v>
      </c>
      <c r="M88" s="11"/>
      <c r="N88" s="1">
        <f>N87/(N86*12)</f>
        <v>5140.234006577592</v>
      </c>
      <c r="O88" s="11"/>
      <c r="P88" s="1">
        <f>P87/(P86*12)</f>
        <v>2628.8171577957755</v>
      </c>
      <c r="Q88" s="11"/>
      <c r="R88" s="1">
        <f>R87/(R86*12)</f>
        <v>3337.8704099442157</v>
      </c>
      <c r="S88" s="11"/>
      <c r="T88" s="1">
        <f>T87/(T86*12)</f>
        <v>2579.11599084276</v>
      </c>
      <c r="U88" s="11"/>
      <c r="V88" s="1">
        <f>V87/(V86*12)</f>
        <v>1047.3714783655203</v>
      </c>
      <c r="W88" s="11"/>
      <c r="X88" s="1">
        <f>X87/(X86*12)</f>
        <v>1921.7675002147644</v>
      </c>
      <c r="Y88" s="11"/>
      <c r="Z88" s="1">
        <f>Z87/(Z86*12)</f>
        <v>2992.2838595130424</v>
      </c>
    </row>
    <row r="91" spans="12:26" ht="12.75">
      <c r="L91" s="1" t="s">
        <v>196</v>
      </c>
      <c r="R91" s="1"/>
      <c r="Z91" s="1"/>
    </row>
    <row r="92" spans="14:26" ht="12.75">
      <c r="N92" s="1" t="s">
        <v>189</v>
      </c>
      <c r="Z92" s="1"/>
    </row>
    <row r="93" spans="14:26" ht="12.75">
      <c r="N93" s="1"/>
      <c r="Z93" s="1"/>
    </row>
    <row r="94" spans="1:26" ht="12.75">
      <c r="A94" s="1"/>
      <c r="B94" s="1"/>
      <c r="C94" s="1"/>
      <c r="D94" s="1"/>
      <c r="E94" s="11"/>
      <c r="F94" s="1"/>
      <c r="G94" s="11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"/>
      <c r="D95" s="2"/>
      <c r="E95" s="11"/>
      <c r="F95" s="1"/>
      <c r="G95" s="11"/>
      <c r="H95" s="1"/>
      <c r="I95" s="11"/>
      <c r="J95" s="1"/>
      <c r="K95" s="11"/>
      <c r="L95" s="1" t="s">
        <v>124</v>
      </c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"/>
      <c r="D96" s="1"/>
      <c r="E96" s="11"/>
      <c r="F96" s="1"/>
      <c r="G96" s="11"/>
      <c r="H96" s="1"/>
      <c r="I96" s="11"/>
      <c r="J96" s="1"/>
      <c r="K96" s="11"/>
      <c r="L96" s="1" t="s">
        <v>187</v>
      </c>
      <c r="M96" s="11"/>
      <c r="N96" s="1"/>
      <c r="O96" s="11"/>
      <c r="P96" s="2" t="s">
        <v>128</v>
      </c>
      <c r="Q96" s="12"/>
      <c r="R96" s="1" t="s">
        <v>129</v>
      </c>
      <c r="S96" s="11"/>
      <c r="T96" s="2" t="s">
        <v>131</v>
      </c>
      <c r="U96" s="12"/>
      <c r="V96" s="2" t="s">
        <v>133</v>
      </c>
      <c r="W96" s="12"/>
      <c r="X96" s="2" t="s">
        <v>140</v>
      </c>
      <c r="Y96" s="12"/>
      <c r="Z96" s="1"/>
    </row>
    <row r="97" spans="1:26" ht="12.75">
      <c r="A97" s="1" t="s">
        <v>185</v>
      </c>
      <c r="B97" s="1"/>
      <c r="C97" s="1"/>
      <c r="D97" s="2" t="s">
        <v>184</v>
      </c>
      <c r="E97" s="12" t="s">
        <v>144</v>
      </c>
      <c r="F97" s="2" t="s">
        <v>7</v>
      </c>
      <c r="G97" s="11" t="s">
        <v>145</v>
      </c>
      <c r="H97" s="1" t="s">
        <v>8</v>
      </c>
      <c r="I97" s="11" t="s">
        <v>146</v>
      </c>
      <c r="J97" s="2" t="s">
        <v>9</v>
      </c>
      <c r="K97" s="11" t="s">
        <v>147</v>
      </c>
      <c r="L97" s="1" t="s">
        <v>125</v>
      </c>
      <c r="M97" s="11" t="s">
        <v>148</v>
      </c>
      <c r="N97" s="2" t="s">
        <v>126</v>
      </c>
      <c r="O97" s="12" t="s">
        <v>149</v>
      </c>
      <c r="P97" s="2" t="s">
        <v>127</v>
      </c>
      <c r="Q97" s="12" t="s">
        <v>150</v>
      </c>
      <c r="R97" s="1" t="s">
        <v>130</v>
      </c>
      <c r="S97" s="11" t="s">
        <v>151</v>
      </c>
      <c r="T97" s="2" t="s">
        <v>132</v>
      </c>
      <c r="U97" s="12" t="s">
        <v>152</v>
      </c>
      <c r="V97" s="2" t="s">
        <v>134</v>
      </c>
      <c r="W97" s="12" t="s">
        <v>153</v>
      </c>
      <c r="X97" s="2" t="s">
        <v>141</v>
      </c>
      <c r="Y97" s="12" t="s">
        <v>154</v>
      </c>
      <c r="Z97" s="2" t="s">
        <v>94</v>
      </c>
    </row>
    <row r="99" spans="1:26" ht="12.75">
      <c r="A99" s="1" t="s">
        <v>111</v>
      </c>
      <c r="B99" s="1"/>
      <c r="C99" s="1"/>
      <c r="D99" s="1"/>
      <c r="E99" s="11"/>
      <c r="F99" s="1"/>
      <c r="G99" s="11"/>
      <c r="H99" s="1"/>
      <c r="I99" s="11"/>
      <c r="J99" s="1"/>
      <c r="K99" s="11"/>
      <c r="L99" s="1"/>
      <c r="M99" s="11"/>
      <c r="N99" s="1"/>
      <c r="O99" s="11"/>
      <c r="P99" s="1"/>
      <c r="Q99" s="11"/>
      <c r="R99" s="1"/>
      <c r="S99" s="11"/>
      <c r="T99" s="1"/>
      <c r="U99" s="11"/>
      <c r="V99" s="1"/>
      <c r="W99" s="11"/>
      <c r="X99" s="1"/>
      <c r="Y99" s="11"/>
      <c r="Z99" s="1"/>
    </row>
    <row r="100" spans="1:27" ht="12.75">
      <c r="A100" s="1" t="s">
        <v>18</v>
      </c>
      <c r="B100" s="1"/>
      <c r="C100" s="1">
        <f aca="true" t="shared" si="13" ref="C100:D102">+E100+G100+I100+K100+M100+O100+Q100+S100+U100+W100+Y100</f>
        <v>644</v>
      </c>
      <c r="D100" s="1">
        <f t="shared" si="13"/>
        <v>795.1356641309111</v>
      </c>
      <c r="E100" s="11">
        <v>1</v>
      </c>
      <c r="F100" s="1">
        <f>+F$225*E100</f>
        <v>1.8611111111111112</v>
      </c>
      <c r="G100" s="15">
        <v>34</v>
      </c>
      <c r="H100" s="1">
        <f>+H$225*G100</f>
        <v>53.316673174541194</v>
      </c>
      <c r="I100" s="11">
        <v>32</v>
      </c>
      <c r="J100" s="1">
        <f>+J$225*I100</f>
        <v>35.43695797198132</v>
      </c>
      <c r="K100" s="11">
        <v>85</v>
      </c>
      <c r="L100" s="1">
        <f>+L$225*K100</f>
        <v>116.64406190227785</v>
      </c>
      <c r="M100" s="11">
        <v>22</v>
      </c>
      <c r="N100" s="1">
        <f>+N$225*M100</f>
        <v>31.60200668896321</v>
      </c>
      <c r="O100" s="11">
        <v>53</v>
      </c>
      <c r="P100" s="1">
        <f>+P$225*O100</f>
        <v>61.26681195516812</v>
      </c>
      <c r="Q100" s="11">
        <v>159</v>
      </c>
      <c r="R100" s="1">
        <f>+R$225*Q100</f>
        <v>210.98661567877627</v>
      </c>
      <c r="S100" s="11">
        <v>119</v>
      </c>
      <c r="T100" s="1">
        <f>+T$225*S100</f>
        <v>129.93957703927492</v>
      </c>
      <c r="U100" s="11">
        <v>48</v>
      </c>
      <c r="V100" s="1">
        <f>+V$225*U100</f>
        <v>52.78439869989165</v>
      </c>
      <c r="W100" s="11">
        <v>58</v>
      </c>
      <c r="X100" s="1">
        <f>+X$225*W100</f>
        <v>65.35300546448087</v>
      </c>
      <c r="Y100" s="11">
        <v>33</v>
      </c>
      <c r="Z100" s="1">
        <f>+Z$225*Y100</f>
        <v>35.94444444444445</v>
      </c>
      <c r="AA100">
        <f>+F100+H100+J100+L100+N100+P100+R100+T100+V100+X100+Z100</f>
        <v>795.1356641309111</v>
      </c>
    </row>
    <row r="101" spans="1:27" ht="12.75">
      <c r="A101" s="1" t="s">
        <v>20</v>
      </c>
      <c r="B101" s="1"/>
      <c r="C101" s="1">
        <f t="shared" si="13"/>
        <v>21112</v>
      </c>
      <c r="D101" s="1">
        <f t="shared" si="13"/>
        <v>23600.01936407294</v>
      </c>
      <c r="E101" s="11">
        <v>0</v>
      </c>
      <c r="F101" s="1">
        <f>+F$226*E101</f>
        <v>0</v>
      </c>
      <c r="G101" s="15">
        <v>378</v>
      </c>
      <c r="H101" s="1">
        <f>+H$226*G101</f>
        <v>488.23667287189033</v>
      </c>
      <c r="I101" s="11">
        <v>689</v>
      </c>
      <c r="J101" s="1">
        <f>+J$226*I101</f>
        <v>711.7864349775786</v>
      </c>
      <c r="K101" s="11">
        <v>1689</v>
      </c>
      <c r="L101" s="1">
        <f>+L$226*K101</f>
        <v>1811.652138089375</v>
      </c>
      <c r="M101" s="11">
        <v>1384</v>
      </c>
      <c r="N101" s="1">
        <f>+N$226*M101</f>
        <v>1580.2819253438113</v>
      </c>
      <c r="O101" s="11">
        <v>315</v>
      </c>
      <c r="P101" s="1">
        <f>+P$226*O101</f>
        <v>374.8045961381561</v>
      </c>
      <c r="Q101" s="11">
        <v>4042</v>
      </c>
      <c r="R101" s="1">
        <f>+R$226*Q101</f>
        <v>4339.257591777192</v>
      </c>
      <c r="S101" s="11">
        <v>6099</v>
      </c>
      <c r="T101" s="1">
        <f>+T$226*S101</f>
        <v>7039.016133699898</v>
      </c>
      <c r="U101" s="11">
        <v>1004</v>
      </c>
      <c r="V101" s="1">
        <f>+V$226*U101</f>
        <v>1068.2744506578185</v>
      </c>
      <c r="W101" s="11">
        <v>2787</v>
      </c>
      <c r="X101" s="1">
        <f>+X$226*W101</f>
        <v>3123.31146627021</v>
      </c>
      <c r="Y101" s="11">
        <v>2725</v>
      </c>
      <c r="Z101" s="1">
        <f>+Z$226*Y101</f>
        <v>3063.3979542470106</v>
      </c>
      <c r="AA101">
        <f>+F101+H101+J101+L101+N101+P101+R101+T101+V101+X101+Z101</f>
        <v>23600.01936407294</v>
      </c>
    </row>
    <row r="102" spans="1:27" ht="12.75">
      <c r="A102" s="1" t="s">
        <v>21</v>
      </c>
      <c r="B102" s="1"/>
      <c r="C102" s="1">
        <f t="shared" si="13"/>
        <v>687881810</v>
      </c>
      <c r="D102" s="1">
        <f t="shared" si="13"/>
        <v>774607934.1887399</v>
      </c>
      <c r="E102" s="11">
        <v>43750</v>
      </c>
      <c r="F102" s="1">
        <f>+F$227*E102</f>
        <v>49785.40419355491</v>
      </c>
      <c r="G102" s="15">
        <v>16757362</v>
      </c>
      <c r="H102" s="1">
        <f>+H$227*G102</f>
        <v>21090061.733463585</v>
      </c>
      <c r="I102" s="11">
        <v>29175803</v>
      </c>
      <c r="J102" s="1">
        <f>+J$227*I102</f>
        <v>30185975.450781558</v>
      </c>
      <c r="K102" s="11">
        <v>69322655</v>
      </c>
      <c r="L102" s="1">
        <f>+L$227*K102</f>
        <v>76619287.86467148</v>
      </c>
      <c r="M102" s="11">
        <v>36748471</v>
      </c>
      <c r="N102" s="1">
        <f>+N$227*M102</f>
        <v>41100460.36905656</v>
      </c>
      <c r="O102" s="11">
        <v>16498036</v>
      </c>
      <c r="P102" s="1">
        <f>+P$227*O102</f>
        <v>18735335.85595055</v>
      </c>
      <c r="Q102" s="11">
        <v>132115451</v>
      </c>
      <c r="R102" s="1">
        <f>+R$227*Q102</f>
        <v>143127670.52071816</v>
      </c>
      <c r="S102" s="11">
        <v>207230089</v>
      </c>
      <c r="T102" s="1">
        <f>+T$227*S102</f>
        <v>243233008.03231603</v>
      </c>
      <c r="U102" s="11">
        <v>12849885</v>
      </c>
      <c r="V102" s="1">
        <f>+V$227*U102</f>
        <v>13710428.197299717</v>
      </c>
      <c r="W102" s="11">
        <v>64135586</v>
      </c>
      <c r="X102" s="1">
        <f>+X$227*W102</f>
        <v>71956019.84989634</v>
      </c>
      <c r="Y102" s="11">
        <v>103004722</v>
      </c>
      <c r="Z102" s="1">
        <f>+Z$227*Y102</f>
        <v>114799900.91039239</v>
      </c>
      <c r="AA102">
        <f>+F102+H102+J102+L102+N102+P102+R102+T102+V102+X102+Z102</f>
        <v>774607934.1887399</v>
      </c>
    </row>
    <row r="103" spans="1:26" ht="12.75">
      <c r="A103" s="1" t="s">
        <v>23</v>
      </c>
      <c r="B103" s="1"/>
      <c r="C103" s="1"/>
      <c r="D103" s="1">
        <f>D102/(D101*12)</f>
        <v>2735.1952634692543</v>
      </c>
      <c r="E103" s="11"/>
      <c r="F103" s="2" t="s">
        <v>32</v>
      </c>
      <c r="G103" s="15"/>
      <c r="H103" s="1">
        <f>H102/(H101*12)</f>
        <v>3599.6991666303097</v>
      </c>
      <c r="I103" s="11"/>
      <c r="J103" s="1">
        <f>J102/(J101*12)</f>
        <v>3534.0627899308524</v>
      </c>
      <c r="K103" s="11"/>
      <c r="L103" s="1">
        <f>L102/(L101*12)</f>
        <v>3524.3745314832067</v>
      </c>
      <c r="M103" s="11"/>
      <c r="N103" s="1">
        <f>N102/(N101*12)</f>
        <v>2167.3590700234604</v>
      </c>
      <c r="O103" s="11"/>
      <c r="P103" s="1">
        <f>P102/(P101*12)</f>
        <v>4165.578555019584</v>
      </c>
      <c r="Q103" s="11"/>
      <c r="R103" s="1">
        <f>R102/(R101*12)</f>
        <v>2748.6973576605646</v>
      </c>
      <c r="S103" s="11"/>
      <c r="T103" s="1">
        <f>T102/(T101*12)</f>
        <v>2879.581031074037</v>
      </c>
      <c r="U103" s="11"/>
      <c r="V103" s="1">
        <f>V102/(V101*12)</f>
        <v>1069.515125448112</v>
      </c>
      <c r="W103" s="11"/>
      <c r="X103" s="1">
        <f>X102/(X101*12)</f>
        <v>1919.8645579373015</v>
      </c>
      <c r="Y103" s="11"/>
      <c r="Z103" s="1">
        <f>Z102/(Z101*12)</f>
        <v>3122.8911659800565</v>
      </c>
    </row>
    <row r="104" spans="1:26" ht="12.75">
      <c r="A104" s="1"/>
      <c r="B104" s="1"/>
      <c r="C104" s="1"/>
      <c r="D104" s="1"/>
      <c r="E104" s="11"/>
      <c r="F104" s="1"/>
      <c r="G104" s="11"/>
      <c r="H104" s="1"/>
      <c r="I104" s="11"/>
      <c r="J104" s="1"/>
      <c r="K104" s="11"/>
      <c r="L104" s="1"/>
      <c r="M104" s="11"/>
      <c r="N104" s="1"/>
      <c r="O104" s="11"/>
      <c r="P104" s="1"/>
      <c r="Q104" s="11"/>
      <c r="R104" s="1"/>
      <c r="S104" s="11"/>
      <c r="T104" s="1"/>
      <c r="U104" s="11"/>
      <c r="V104" s="1"/>
      <c r="W104" s="11"/>
      <c r="X104" s="1"/>
      <c r="Y104" s="11"/>
      <c r="Z104" s="1"/>
    </row>
    <row r="105" spans="1:26" ht="12.75">
      <c r="A105" s="1" t="s">
        <v>113</v>
      </c>
      <c r="B105" s="1"/>
      <c r="C105" s="1"/>
      <c r="D105" s="1"/>
      <c r="E105" s="11"/>
      <c r="F105" s="1"/>
      <c r="G105" s="15"/>
      <c r="H105" s="1"/>
      <c r="I105" s="11"/>
      <c r="J105" s="1"/>
      <c r="K105" s="11"/>
      <c r="L105" s="1"/>
      <c r="M105" s="11"/>
      <c r="N105" s="1"/>
      <c r="O105" s="11"/>
      <c r="P105" s="1"/>
      <c r="Q105" s="11"/>
      <c r="R105" s="1"/>
      <c r="S105" s="11"/>
      <c r="T105" s="1"/>
      <c r="U105" s="11"/>
      <c r="V105" s="1"/>
      <c r="W105" s="11"/>
      <c r="X105" s="1"/>
      <c r="Y105" s="11"/>
      <c r="Z105" s="1"/>
    </row>
    <row r="106" spans="1:27" ht="12.75">
      <c r="A106" s="1" t="s">
        <v>18</v>
      </c>
      <c r="C106" s="1">
        <f aca="true" t="shared" si="14" ref="C106:D108">+E106+G106+I106+K106+M106+O106+Q106+S106+U106+W106+Y106</f>
        <v>1110</v>
      </c>
      <c r="D106" s="1">
        <f t="shared" si="14"/>
        <v>1431.8163656814036</v>
      </c>
      <c r="E106" s="11">
        <v>3</v>
      </c>
      <c r="F106" s="1">
        <f>+F$225*E106</f>
        <v>5.583333333333334</v>
      </c>
      <c r="G106" s="15">
        <v>86</v>
      </c>
      <c r="H106" s="1">
        <f>+H$225*G106</f>
        <v>134.859820382663</v>
      </c>
      <c r="I106" s="11">
        <v>193</v>
      </c>
      <c r="J106" s="1">
        <f>+J$225*I106</f>
        <v>213.72915276851234</v>
      </c>
      <c r="K106" s="11">
        <v>475</v>
      </c>
      <c r="L106" s="1">
        <f>+L$225*K106</f>
        <v>651.8344635715528</v>
      </c>
      <c r="M106" s="11">
        <v>17</v>
      </c>
      <c r="N106" s="1">
        <f>+N$225*M106</f>
        <v>24.419732441471574</v>
      </c>
      <c r="O106" s="11">
        <v>51</v>
      </c>
      <c r="P106" s="1">
        <f>+P$225*O106</f>
        <v>58.95485678704857</v>
      </c>
      <c r="Q106" s="11">
        <v>120</v>
      </c>
      <c r="R106" s="1">
        <f>+R$225*Q106</f>
        <v>159.23518164435947</v>
      </c>
      <c r="S106" s="11">
        <v>26</v>
      </c>
      <c r="T106" s="1">
        <f>+T$225*S106</f>
        <v>28.390159689253345</v>
      </c>
      <c r="U106" s="11">
        <v>35</v>
      </c>
      <c r="V106" s="1">
        <f>+V$225*U106</f>
        <v>38.48862405200433</v>
      </c>
      <c r="W106" s="11">
        <v>81</v>
      </c>
      <c r="X106" s="1">
        <f>+X$225*W106</f>
        <v>91.2688524590164</v>
      </c>
      <c r="Y106" s="11">
        <v>23</v>
      </c>
      <c r="Z106" s="1">
        <f>+Z$225*Y106</f>
        <v>25.052188552188554</v>
      </c>
      <c r="AA106">
        <f>+F106+H106+J106+L106+N106+P106+R106+T106+V106+X106+Z106</f>
        <v>1431.8163656814036</v>
      </c>
    </row>
    <row r="107" spans="1:27" ht="12.75">
      <c r="A107" s="1" t="s">
        <v>20</v>
      </c>
      <c r="C107" s="1">
        <f t="shared" si="14"/>
        <v>33301</v>
      </c>
      <c r="D107" s="1">
        <f t="shared" si="14"/>
        <v>36113.06610263972</v>
      </c>
      <c r="E107" s="11">
        <v>56</v>
      </c>
      <c r="F107" s="1">
        <f>+F$226*E107</f>
        <v>64.74567901234568</v>
      </c>
      <c r="G107" s="15">
        <v>1894</v>
      </c>
      <c r="H107" s="1">
        <f>+H$226*G107</f>
        <v>2446.349889998308</v>
      </c>
      <c r="I107" s="11">
        <v>8990</v>
      </c>
      <c r="J107" s="1">
        <f>+J$226*I107</f>
        <v>9287.315022421526</v>
      </c>
      <c r="K107" s="11">
        <v>11636</v>
      </c>
      <c r="L107" s="1">
        <f>+L$226*K107</f>
        <v>12480.985363415019</v>
      </c>
      <c r="M107" s="11">
        <v>648</v>
      </c>
      <c r="N107" s="1">
        <f>+N$226*M107</f>
        <v>739.9007858546169</v>
      </c>
      <c r="O107" s="11">
        <v>407</v>
      </c>
      <c r="P107" s="1">
        <f>+P$226*O107</f>
        <v>484.27133532771285</v>
      </c>
      <c r="Q107" s="11">
        <v>4790</v>
      </c>
      <c r="R107" s="1">
        <f>+R$226*Q107</f>
        <v>5142.267160963075</v>
      </c>
      <c r="S107" s="11">
        <v>513</v>
      </c>
      <c r="T107" s="1">
        <f>+T$226*S107</f>
        <v>592.066777600926</v>
      </c>
      <c r="U107" s="11">
        <v>509</v>
      </c>
      <c r="V107" s="1">
        <f>+V$226*U107</f>
        <v>541.5853539689538</v>
      </c>
      <c r="W107" s="11">
        <v>1002</v>
      </c>
      <c r="X107" s="1">
        <f>+X$226*W107</f>
        <v>1122.912841479279</v>
      </c>
      <c r="Y107" s="11">
        <v>2856</v>
      </c>
      <c r="Z107" s="1">
        <f>+Z$226*Y107</f>
        <v>3210.6658925979677</v>
      </c>
      <c r="AA107">
        <f>+F107+H107+J107+L107+N107+P107+R107+T107+V107+X107+Z107</f>
        <v>36113.06610263972</v>
      </c>
    </row>
    <row r="108" spans="1:27" ht="12.75">
      <c r="A108" s="1" t="s">
        <v>21</v>
      </c>
      <c r="C108" s="1">
        <f t="shared" si="14"/>
        <v>1144397162</v>
      </c>
      <c r="D108" s="1">
        <f t="shared" si="14"/>
        <v>1253900271.5640957</v>
      </c>
      <c r="E108" s="11">
        <v>2795332</v>
      </c>
      <c r="F108" s="1">
        <f>+F$227*E108</f>
        <v>3180953.908004074</v>
      </c>
      <c r="G108" s="15">
        <v>74456005</v>
      </c>
      <c r="H108" s="1">
        <f>+H$227*G108</f>
        <v>93706977.37967786</v>
      </c>
      <c r="I108" s="11">
        <v>319007462</v>
      </c>
      <c r="J108" s="1">
        <f>+J$227*I108</f>
        <v>330052660.9858221</v>
      </c>
      <c r="K108" s="11">
        <v>411058264</v>
      </c>
      <c r="L108" s="1">
        <f>+L$227*K108</f>
        <v>454324657.04852366</v>
      </c>
      <c r="M108" s="11">
        <v>30149224</v>
      </c>
      <c r="N108" s="1">
        <f>+N$227*M108</f>
        <v>33719688.26049413</v>
      </c>
      <c r="O108" s="11">
        <v>15874204</v>
      </c>
      <c r="P108" s="1">
        <f>+P$227*O108</f>
        <v>18026905.95328278</v>
      </c>
      <c r="Q108" s="11">
        <v>132392397</v>
      </c>
      <c r="R108" s="1">
        <f>+R$227*Q108</f>
        <v>143427700.80135527</v>
      </c>
      <c r="S108" s="11">
        <v>12262949</v>
      </c>
      <c r="T108" s="1">
        <f>+T$227*S108</f>
        <v>14393440.581000194</v>
      </c>
      <c r="U108" s="11">
        <v>6253472</v>
      </c>
      <c r="V108" s="1">
        <f>+V$227*U108</f>
        <v>6672260.400760338</v>
      </c>
      <c r="W108" s="11">
        <v>26760670</v>
      </c>
      <c r="X108" s="1">
        <f>+X$227*W108</f>
        <v>30023757.82013632</v>
      </c>
      <c r="Y108" s="11">
        <v>113387183</v>
      </c>
      <c r="Z108" s="1">
        <f>+Z$227*Y108</f>
        <v>126371268.42503908</v>
      </c>
      <c r="AA108">
        <f>+F108+H108+J108+L108+N108+P108+R108+T108+V108+X108+Z108</f>
        <v>1253900271.5640957</v>
      </c>
    </row>
    <row r="109" spans="1:26" ht="12.75">
      <c r="A109" s="1" t="s">
        <v>23</v>
      </c>
      <c r="C109" s="1"/>
      <c r="D109" s="1">
        <f>D108/(D107*12)</f>
        <v>2893.4593645420223</v>
      </c>
      <c r="E109" s="11"/>
      <c r="F109" s="1">
        <f>F108/(F107*12)</f>
        <v>4094.1649910433034</v>
      </c>
      <c r="G109" s="15"/>
      <c r="H109" s="1">
        <f>H108/(H107*12)</f>
        <v>3192.0678287132605</v>
      </c>
      <c r="I109" s="11"/>
      <c r="J109" s="1">
        <f>J108/(J107*12)</f>
        <v>2961.5005358474236</v>
      </c>
      <c r="K109" s="11"/>
      <c r="L109" s="1">
        <f>L108/(L107*12)</f>
        <v>3033.445435995424</v>
      </c>
      <c r="M109" s="11"/>
      <c r="N109" s="1">
        <f>N108/(N107*12)</f>
        <v>3797.771370741558</v>
      </c>
      <c r="O109" s="11"/>
      <c r="P109" s="1">
        <f>P108/(P107*12)</f>
        <v>3102.0670710501126</v>
      </c>
      <c r="Q109" s="11"/>
      <c r="R109" s="1">
        <f>R108/(R107*12)</f>
        <v>2324.326610419525</v>
      </c>
      <c r="S109" s="11"/>
      <c r="T109" s="1">
        <f>T108/(T107*12)</f>
        <v>2025.8751666665719</v>
      </c>
      <c r="U109" s="11"/>
      <c r="V109" s="1">
        <f>V108/(V107*12)</f>
        <v>1026.6557173095846</v>
      </c>
      <c r="W109" s="11"/>
      <c r="X109" s="1">
        <f>X108/(X107*12)</f>
        <v>2228.115777043469</v>
      </c>
      <c r="Y109" s="11"/>
      <c r="Z109" s="1">
        <f>Z108/(Z107*12)</f>
        <v>3279.9859554675204</v>
      </c>
    </row>
    <row r="110" ht="12.75">
      <c r="A110" s="1"/>
    </row>
    <row r="111" spans="1:26" ht="12.75">
      <c r="A111" s="1" t="s">
        <v>116</v>
      </c>
      <c r="E111" s="11"/>
      <c r="F111" s="1"/>
      <c r="G111" s="15"/>
      <c r="H111" s="1"/>
      <c r="I111" s="11"/>
      <c r="J111" s="1"/>
      <c r="K111" s="11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</row>
    <row r="112" spans="1:27" ht="12.75">
      <c r="A112" s="1" t="s">
        <v>18</v>
      </c>
      <c r="C112" s="1">
        <f aca="true" t="shared" si="15" ref="C112:D114">+E112+G112+I112+K112+M112+O112+Q112+S112+U112+W112+Y112</f>
        <v>760</v>
      </c>
      <c r="D112" s="1">
        <f t="shared" si="15"/>
        <v>959.5404533457732</v>
      </c>
      <c r="E112" s="11">
        <v>0</v>
      </c>
      <c r="F112" s="1">
        <f>+F$225*E112</f>
        <v>0</v>
      </c>
      <c r="G112" s="15">
        <v>46</v>
      </c>
      <c r="H112" s="1">
        <f>+H$225*G112</f>
        <v>72.13432253026161</v>
      </c>
      <c r="I112" s="11">
        <v>14</v>
      </c>
      <c r="J112" s="1">
        <f>+J$225*I112</f>
        <v>15.503669112741829</v>
      </c>
      <c r="K112" s="11">
        <v>170</v>
      </c>
      <c r="L112" s="1">
        <f>+L$225*K112</f>
        <v>233.2881238045557</v>
      </c>
      <c r="M112" s="11">
        <v>37</v>
      </c>
      <c r="N112" s="1">
        <f>+N$225*M112</f>
        <v>53.14882943143813</v>
      </c>
      <c r="O112" s="11">
        <v>89</v>
      </c>
      <c r="P112" s="1">
        <f>+P$225*O112</f>
        <v>102.88200498132005</v>
      </c>
      <c r="Q112" s="11">
        <v>164</v>
      </c>
      <c r="R112" s="1">
        <f>+R$225*Q112</f>
        <v>217.62141491395792</v>
      </c>
      <c r="S112" s="11">
        <v>88</v>
      </c>
      <c r="T112" s="1">
        <f>+T$225*S112</f>
        <v>96.0897712559344</v>
      </c>
      <c r="U112" s="11">
        <v>76</v>
      </c>
      <c r="V112" s="1">
        <f>+V$225*U112</f>
        <v>83.57529794149512</v>
      </c>
      <c r="W112" s="11">
        <v>67</v>
      </c>
      <c r="X112" s="1">
        <f>+X$225*W112</f>
        <v>75.49398907103826</v>
      </c>
      <c r="Y112" s="11">
        <v>9</v>
      </c>
      <c r="Z112" s="1">
        <f>+Z$225*Y112</f>
        <v>9.803030303030305</v>
      </c>
      <c r="AA112">
        <f>+F112+H112+J112+L112+N112+P112+R112+T112+V112+X112+Z112</f>
        <v>959.5404533457732</v>
      </c>
    </row>
    <row r="113" spans="1:27" ht="12.75">
      <c r="A113" s="1" t="s">
        <v>20</v>
      </c>
      <c r="C113" s="1">
        <f t="shared" si="15"/>
        <v>9000</v>
      </c>
      <c r="D113" s="1">
        <f t="shared" si="15"/>
        <v>9932.324849801724</v>
      </c>
      <c r="E113" s="11">
        <v>0</v>
      </c>
      <c r="F113" s="1">
        <f>+F$226*E113</f>
        <v>0</v>
      </c>
      <c r="G113" s="15">
        <v>231</v>
      </c>
      <c r="H113" s="1">
        <f>+H$226*G113</f>
        <v>298.366855643933</v>
      </c>
      <c r="I113" s="11">
        <v>228</v>
      </c>
      <c r="J113" s="1">
        <f>+J$226*I113</f>
        <v>235.54035874439464</v>
      </c>
      <c r="K113" s="11">
        <v>1962</v>
      </c>
      <c r="L113" s="1">
        <f>+L$226*K113</f>
        <v>2104.4769064128795</v>
      </c>
      <c r="M113" s="11">
        <v>407</v>
      </c>
      <c r="N113" s="1">
        <f>+N$226*M113</f>
        <v>464.72163555992137</v>
      </c>
      <c r="O113" s="11">
        <v>622</v>
      </c>
      <c r="P113" s="1">
        <f>+P$226*O113</f>
        <v>740.0903453902639</v>
      </c>
      <c r="Q113" s="11">
        <v>1610</v>
      </c>
      <c r="R113" s="1">
        <f>+R$226*Q113</f>
        <v>1728.4029497182778</v>
      </c>
      <c r="S113" s="11">
        <v>1245</v>
      </c>
      <c r="T113" s="1">
        <f>+T$226*S113</f>
        <v>1436.887208797569</v>
      </c>
      <c r="U113" s="11">
        <v>1732</v>
      </c>
      <c r="V113" s="1">
        <f>+V$226*U113</f>
        <v>1842.8798292224517</v>
      </c>
      <c r="W113" s="11">
        <v>464</v>
      </c>
      <c r="X113" s="1">
        <f>+X$226*W113</f>
        <v>519.9915752957938</v>
      </c>
      <c r="Y113" s="11">
        <v>499</v>
      </c>
      <c r="Z113" s="1">
        <f>+Z$226*Y113</f>
        <v>560.9671850162416</v>
      </c>
      <c r="AA113">
        <f>+F113+H113+J113+L113+N113+P113+R113+T113+V113+X113+Z113</f>
        <v>9932.324849801724</v>
      </c>
    </row>
    <row r="114" spans="1:27" ht="12.75">
      <c r="A114" s="1" t="s">
        <v>21</v>
      </c>
      <c r="C114" s="1">
        <f t="shared" si="15"/>
        <v>232235997</v>
      </c>
      <c r="D114" s="1">
        <f t="shared" si="15"/>
        <v>258843299.1271265</v>
      </c>
      <c r="E114" s="11">
        <v>0</v>
      </c>
      <c r="F114" s="1">
        <f>+F$227*E114</f>
        <v>0</v>
      </c>
      <c r="G114" s="15">
        <v>8257417</v>
      </c>
      <c r="H114" s="1">
        <f>+H$227*G114</f>
        <v>10392413.45320055</v>
      </c>
      <c r="I114" s="11">
        <v>7201652</v>
      </c>
      <c r="J114" s="1">
        <f>+J$227*I114</f>
        <v>7450999.394157957</v>
      </c>
      <c r="K114" s="11">
        <v>42571885</v>
      </c>
      <c r="L114" s="1">
        <f>+L$227*K114</f>
        <v>47052835.9272548</v>
      </c>
      <c r="M114" s="11">
        <v>22312187</v>
      </c>
      <c r="N114" s="1">
        <f>+N$227*M114</f>
        <v>24954539.13009004</v>
      </c>
      <c r="O114" s="11">
        <v>27679806</v>
      </c>
      <c r="P114" s="1">
        <f>+P$227*O114</f>
        <v>31433466.494894005</v>
      </c>
      <c r="Q114" s="11">
        <v>51034163</v>
      </c>
      <c r="R114" s="1">
        <f>+R$227*Q114</f>
        <v>55288013.71737076</v>
      </c>
      <c r="S114" s="11">
        <v>27203780</v>
      </c>
      <c r="T114" s="1">
        <f>+T$227*S114</f>
        <v>31930002.400613543</v>
      </c>
      <c r="U114" s="11">
        <v>20166552</v>
      </c>
      <c r="V114" s="1">
        <f>+V$227*U114</f>
        <v>21517084.641855627</v>
      </c>
      <c r="W114" s="11">
        <v>8084176</v>
      </c>
      <c r="X114" s="1">
        <f>+X$227*W114</f>
        <v>9069927.711053511</v>
      </c>
      <c r="Y114" s="11">
        <v>17724379</v>
      </c>
      <c r="Z114" s="1">
        <f>+Z$227*Y114</f>
        <v>19754016.25663569</v>
      </c>
      <c r="AA114">
        <f>+F114+H114+J114+L114+N114+P114+R114+T114+V114+X114+Z114</f>
        <v>258843299.1271265</v>
      </c>
    </row>
    <row r="115" spans="1:26" ht="12.75">
      <c r="A115" s="1" t="s">
        <v>23</v>
      </c>
      <c r="C115" s="1"/>
      <c r="D115" s="1">
        <f>D114/(D113*12)</f>
        <v>2171.724672063172</v>
      </c>
      <c r="E115" s="11"/>
      <c r="F115" s="1"/>
      <c r="G115" s="15"/>
      <c r="H115" s="1">
        <f>H114/(H113*12)</f>
        <v>2902.582636279457</v>
      </c>
      <c r="I115" s="11"/>
      <c r="J115" s="1">
        <f>J114/(J113*12)</f>
        <v>2636.136836548001</v>
      </c>
      <c r="K115" s="11"/>
      <c r="L115" s="1">
        <f>L114/(L113*12)</f>
        <v>1863.2039385445687</v>
      </c>
      <c r="M115" s="11"/>
      <c r="N115" s="1">
        <f>N114/(N113*12)</f>
        <v>4474.818403928961</v>
      </c>
      <c r="O115" s="11"/>
      <c r="P115" s="1">
        <f>P114/(P113*12)</f>
        <v>3539.3726692379396</v>
      </c>
      <c r="Q115" s="11"/>
      <c r="R115" s="1">
        <f>R114/(R113*12)</f>
        <v>2665.6599244976637</v>
      </c>
      <c r="S115" s="11"/>
      <c r="T115" s="1">
        <f>T114/(T113*12)</f>
        <v>1851.804036595975</v>
      </c>
      <c r="U115" s="11"/>
      <c r="V115" s="1">
        <f>V114/(V113*12)</f>
        <v>972.9828057089558</v>
      </c>
      <c r="W115" s="11"/>
      <c r="X115" s="1">
        <f>X114/(X113*12)</f>
        <v>1453.5376055362278</v>
      </c>
      <c r="Y115" s="11"/>
      <c r="Z115" s="1">
        <f>Z114/(Z113*12)</f>
        <v>2934.5175000542076</v>
      </c>
    </row>
    <row r="116" ht="12.75">
      <c r="A116" s="1" t="s">
        <v>61</v>
      </c>
    </row>
    <row r="117" spans="1:26" ht="12.75">
      <c r="A117" s="1" t="s">
        <v>117</v>
      </c>
      <c r="E117" s="11"/>
      <c r="F117" s="1"/>
      <c r="G117" s="15"/>
      <c r="H117" s="1"/>
      <c r="I117" s="11"/>
      <c r="J117" s="1"/>
      <c r="K117" s="11"/>
      <c r="L117" s="1"/>
      <c r="M117" s="11"/>
      <c r="N117" s="1"/>
      <c r="O117" s="11"/>
      <c r="P117" s="1"/>
      <c r="Q117" s="11"/>
      <c r="R117" s="1"/>
      <c r="S117" s="11"/>
      <c r="T117" s="1"/>
      <c r="U117" s="11"/>
      <c r="V117" s="1"/>
      <c r="W117" s="11"/>
      <c r="X117" s="1"/>
      <c r="Y117" s="11"/>
      <c r="Z117" s="1"/>
    </row>
    <row r="118" spans="1:27" ht="12.75">
      <c r="A118" s="1" t="s">
        <v>18</v>
      </c>
      <c r="C118" s="1">
        <f aca="true" t="shared" si="16" ref="C118:D120">+E118+G118+I118+K118+M118+O118+Q118+S118+U118+W118+Y118</f>
        <v>2373</v>
      </c>
      <c r="D118" s="1">
        <f t="shared" si="16"/>
        <v>2984.208721193186</v>
      </c>
      <c r="E118" s="11">
        <v>2</v>
      </c>
      <c r="F118" s="1">
        <f>+F$225*E118</f>
        <v>3.7222222222222223</v>
      </c>
      <c r="G118" s="15">
        <v>194</v>
      </c>
      <c r="H118" s="1">
        <f>+H$225*G118</f>
        <v>304.2186645841468</v>
      </c>
      <c r="I118" s="11">
        <v>188</v>
      </c>
      <c r="J118" s="1">
        <f>+J$225*I118</f>
        <v>208.19212808539027</v>
      </c>
      <c r="K118" s="11">
        <v>544</v>
      </c>
      <c r="L118" s="1">
        <f>+L$225*K118</f>
        <v>746.5219961745782</v>
      </c>
      <c r="M118" s="11">
        <v>51</v>
      </c>
      <c r="N118" s="1">
        <f>+N$225*M118</f>
        <v>73.25919732441471</v>
      </c>
      <c r="O118" s="11">
        <v>363</v>
      </c>
      <c r="P118" s="1">
        <f>+P$225*O118</f>
        <v>419.61986301369865</v>
      </c>
      <c r="Q118" s="11">
        <v>406</v>
      </c>
      <c r="R118" s="1">
        <f>+R$225*Q118</f>
        <v>538.7456978967496</v>
      </c>
      <c r="S118" s="11">
        <v>278</v>
      </c>
      <c r="T118" s="1">
        <f>+T$225*S118</f>
        <v>303.5563228312473</v>
      </c>
      <c r="U118" s="11">
        <v>115</v>
      </c>
      <c r="V118" s="1">
        <f>+V$225*U118</f>
        <v>126.46262188515709</v>
      </c>
      <c r="W118" s="11">
        <v>192</v>
      </c>
      <c r="X118" s="1">
        <f>+X$225*W118</f>
        <v>216.3409836065574</v>
      </c>
      <c r="Y118" s="11">
        <v>40</v>
      </c>
      <c r="Z118" s="1">
        <f>+Z$225*Y118</f>
        <v>43.56902356902357</v>
      </c>
      <c r="AA118">
        <f>+F118+H118+J118+L118+N118+P118+R118+T118+V118+X118+Z118</f>
        <v>2984.208721193186</v>
      </c>
    </row>
    <row r="119" spans="1:27" ht="12.75">
      <c r="A119" s="1" t="s">
        <v>20</v>
      </c>
      <c r="C119" s="1">
        <f t="shared" si="16"/>
        <v>38653</v>
      </c>
      <c r="D119" s="1">
        <f t="shared" si="16"/>
        <v>42916.18662816139</v>
      </c>
      <c r="E119" s="11">
        <v>10</v>
      </c>
      <c r="F119" s="1">
        <f>+F$226*E119</f>
        <v>11.561728395061728</v>
      </c>
      <c r="G119" s="15">
        <v>2231</v>
      </c>
      <c r="H119" s="1">
        <f>+H$226*G119</f>
        <v>2881.6296750719243</v>
      </c>
      <c r="I119" s="11">
        <v>3469</v>
      </c>
      <c r="J119" s="1">
        <f>+J$226*I119</f>
        <v>3583.7258968609867</v>
      </c>
      <c r="K119" s="11">
        <v>9983</v>
      </c>
      <c r="L119" s="1">
        <f>+L$226*K119</f>
        <v>10707.947480489183</v>
      </c>
      <c r="M119" s="11">
        <v>1195</v>
      </c>
      <c r="N119" s="1">
        <f>+N$226*M119</f>
        <v>1364.477529469548</v>
      </c>
      <c r="O119" s="11">
        <v>3680</v>
      </c>
      <c r="P119" s="1">
        <f>+P$226*O119</f>
        <v>4378.669567582268</v>
      </c>
      <c r="Q119" s="11">
        <v>6693</v>
      </c>
      <c r="R119" s="1">
        <f>+R$226*Q119</f>
        <v>7185.217976685984</v>
      </c>
      <c r="S119" s="11">
        <v>4981</v>
      </c>
      <c r="T119" s="1">
        <f>+T$226*S119</f>
        <v>5748.7029614624025</v>
      </c>
      <c r="U119" s="11">
        <v>2468</v>
      </c>
      <c r="V119" s="1">
        <f>+V$226*U119</f>
        <v>2625.997354804279</v>
      </c>
      <c r="W119" s="11">
        <v>1252</v>
      </c>
      <c r="X119" s="1">
        <f>+X$226*W119</f>
        <v>1403.0807160998575</v>
      </c>
      <c r="Y119" s="11">
        <v>2691</v>
      </c>
      <c r="Z119" s="1">
        <f>+Z$226*Y119</f>
        <v>3025.175741239892</v>
      </c>
      <c r="AA119">
        <f>+F119+H119+J119+L119+N119+P119+R119+T119+V119+X119+Z119</f>
        <v>42916.18662816139</v>
      </c>
    </row>
    <row r="120" spans="1:27" ht="12.75">
      <c r="A120" s="1" t="s">
        <v>21</v>
      </c>
      <c r="C120" s="1">
        <f t="shared" si="16"/>
        <v>1291281519</v>
      </c>
      <c r="D120" s="1">
        <f t="shared" si="16"/>
        <v>1443532392.3108635</v>
      </c>
      <c r="E120" s="11">
        <v>346022</v>
      </c>
      <c r="F120" s="1">
        <f>+F$227*E120</f>
        <v>393756.4601111373</v>
      </c>
      <c r="G120" s="15">
        <v>77717210</v>
      </c>
      <c r="H120" s="1">
        <f>+H$227*G120</f>
        <v>97811383.23875521</v>
      </c>
      <c r="I120" s="11">
        <v>108246576</v>
      </c>
      <c r="J120" s="1">
        <f>+J$227*I120</f>
        <v>111994466.29685429</v>
      </c>
      <c r="K120" s="11">
        <v>295273520</v>
      </c>
      <c r="L120" s="1">
        <f>+L$227*K120</f>
        <v>326352861.5240549</v>
      </c>
      <c r="M120" s="11">
        <v>56173868</v>
      </c>
      <c r="N120" s="1">
        <f>+N$227*M120</f>
        <v>62826337.332799904</v>
      </c>
      <c r="O120" s="11">
        <v>145886809</v>
      </c>
      <c r="P120" s="1">
        <f>+P$227*O120</f>
        <v>165670529.72656316</v>
      </c>
      <c r="Q120" s="11">
        <v>271449588</v>
      </c>
      <c r="R120" s="1">
        <f>+R$227*Q120</f>
        <v>294075726.1938173</v>
      </c>
      <c r="S120" s="11">
        <v>182771019</v>
      </c>
      <c r="T120" s="1">
        <f>+T$227*S120</f>
        <v>214524565.1682444</v>
      </c>
      <c r="U120" s="11">
        <v>28062584</v>
      </c>
      <c r="V120" s="1">
        <f>+V$227*U120</f>
        <v>29941905.547224108</v>
      </c>
      <c r="W120" s="11">
        <f>31212893+44433</f>
        <v>31257326</v>
      </c>
      <c r="X120" s="1">
        <f>+X$227*W120</f>
        <v>35068717.85829915</v>
      </c>
      <c r="Y120" s="11">
        <v>94096997</v>
      </c>
      <c r="Z120" s="1">
        <f>+Z$227*Y120</f>
        <v>104872142.96413994</v>
      </c>
      <c r="AA120">
        <f>+F120+H120+J120+L120+N120+P120+R120+T120+V120+X120+Z120</f>
        <v>1443532392.3108635</v>
      </c>
    </row>
    <row r="121" spans="1:26" ht="12.75">
      <c r="A121" s="1" t="s">
        <v>23</v>
      </c>
      <c r="C121" s="1"/>
      <c r="D121" s="1">
        <f>D120/(D119*12)</f>
        <v>2803.006871700216</v>
      </c>
      <c r="E121" s="11"/>
      <c r="F121" s="1">
        <f>F120/(F119*12)</f>
        <v>2838.073791511134</v>
      </c>
      <c r="G121" s="15"/>
      <c r="H121" s="1">
        <f>H120/(H119*12)</f>
        <v>2828.5899030471905</v>
      </c>
      <c r="I121" s="11"/>
      <c r="J121" s="1">
        <f>J120/(J119*12)</f>
        <v>2604.2371710345533</v>
      </c>
      <c r="K121" s="11"/>
      <c r="L121" s="1">
        <f>L120/(L119*12)</f>
        <v>2539.802501200614</v>
      </c>
      <c r="M121" s="11"/>
      <c r="N121" s="1">
        <f>N120/(N119*12)</f>
        <v>3837.0203964458206</v>
      </c>
      <c r="O121" s="11"/>
      <c r="P121" s="1">
        <f>P120/(P119*12)</f>
        <v>3152.984545677117</v>
      </c>
      <c r="Q121" s="11"/>
      <c r="R121" s="1">
        <f>R120/(R119*12)</f>
        <v>3410.6565167079893</v>
      </c>
      <c r="S121" s="11"/>
      <c r="T121" s="1">
        <f>T120/(T119*12)</f>
        <v>3109.7531420906794</v>
      </c>
      <c r="U121" s="11"/>
      <c r="V121" s="1">
        <f>V120/(V119*12)</f>
        <v>950.1756698410605</v>
      </c>
      <c r="W121" s="11"/>
      <c r="X121" s="1">
        <f>X120/(X119*12)</f>
        <v>2082.8403678596887</v>
      </c>
      <c r="Y121" s="11"/>
      <c r="Z121" s="1">
        <f>Z120/(Z119*12)</f>
        <v>2888.871918373169</v>
      </c>
    </row>
    <row r="122" ht="12.75">
      <c r="A122" s="1" t="s">
        <v>61</v>
      </c>
    </row>
    <row r="123" spans="1:26" ht="12.75">
      <c r="A123" s="1" t="s">
        <v>118</v>
      </c>
      <c r="E123" s="11"/>
      <c r="F123" s="1"/>
      <c r="G123" s="15"/>
      <c r="H123" s="1"/>
      <c r="I123" s="11"/>
      <c r="J123" s="1"/>
      <c r="K123" s="11"/>
      <c r="L123" s="1"/>
      <c r="M123" s="11"/>
      <c r="N123" s="1"/>
      <c r="O123" s="11"/>
      <c r="P123" s="1"/>
      <c r="Q123" s="11"/>
      <c r="R123" s="1"/>
      <c r="S123" s="11"/>
      <c r="T123" s="1"/>
      <c r="U123" s="11"/>
      <c r="V123" s="1"/>
      <c r="W123" s="11"/>
      <c r="X123" s="1"/>
      <c r="Y123" s="11"/>
      <c r="Z123" s="1"/>
    </row>
    <row r="124" spans="1:28" ht="12.75">
      <c r="A124" s="1" t="s">
        <v>18</v>
      </c>
      <c r="C124" s="1">
        <f aca="true" t="shared" si="17" ref="C124:D126">+E124+G124+I124+K124+M124+O124+Q124+S124+U124+W124+Y124</f>
        <v>431</v>
      </c>
      <c r="D124" s="1">
        <f t="shared" si="17"/>
        <v>539.7868780244279</v>
      </c>
      <c r="E124" s="11">
        <v>0</v>
      </c>
      <c r="F124" s="1">
        <f>+F$225*E124</f>
        <v>0</v>
      </c>
      <c r="G124" s="15">
        <v>25</v>
      </c>
      <c r="H124" s="1">
        <f>+H$225*G124</f>
        <v>39.20343615775088</v>
      </c>
      <c r="I124" s="11">
        <v>6</v>
      </c>
      <c r="J124" s="1">
        <f>+J$225*I124</f>
        <v>6.644429619746498</v>
      </c>
      <c r="K124" s="11">
        <v>75</v>
      </c>
      <c r="L124" s="1">
        <f>+L$225*K124</f>
        <v>102.92123109024517</v>
      </c>
      <c r="M124" s="11">
        <v>8</v>
      </c>
      <c r="N124" s="1">
        <f>+N$225*M124</f>
        <v>11.491638795986622</v>
      </c>
      <c r="O124" s="11">
        <v>73</v>
      </c>
      <c r="P124" s="1">
        <f>+P$225*O124</f>
        <v>84.38636363636364</v>
      </c>
      <c r="Q124" s="11">
        <v>115</v>
      </c>
      <c r="R124" s="1">
        <f>+R$225*Q124</f>
        <v>152.60038240917783</v>
      </c>
      <c r="S124" s="11">
        <v>42</v>
      </c>
      <c r="T124" s="1">
        <f>+T$225*S124</f>
        <v>45.86102719033232</v>
      </c>
      <c r="U124" s="11">
        <v>36</v>
      </c>
      <c r="V124" s="1">
        <f>+V$225*U124</f>
        <v>39.58829902491874</v>
      </c>
      <c r="W124" s="11">
        <v>41</v>
      </c>
      <c r="X124" s="1">
        <f>+X$225*W124</f>
        <v>46.197814207650275</v>
      </c>
      <c r="Y124" s="11">
        <v>10</v>
      </c>
      <c r="Z124" s="1">
        <f>+Z$225*Y124</f>
        <v>10.892255892255893</v>
      </c>
      <c r="AA124">
        <f>+F124+H124+J124+L124+N124+P124+R124+T124+V124+X124+Z124</f>
        <v>539.7868780244279</v>
      </c>
      <c r="AB124" s="1"/>
    </row>
    <row r="125" spans="1:28" ht="12.75">
      <c r="A125" s="1" t="s">
        <v>20</v>
      </c>
      <c r="C125" s="1">
        <f t="shared" si="17"/>
        <v>4100</v>
      </c>
      <c r="D125" s="1">
        <f t="shared" si="17"/>
        <v>4552.571488874387</v>
      </c>
      <c r="E125" s="11">
        <v>0</v>
      </c>
      <c r="F125" s="1">
        <f>+F$226*E125</f>
        <v>0</v>
      </c>
      <c r="G125" s="15">
        <v>79</v>
      </c>
      <c r="H125" s="1">
        <f>+H$226*G125</f>
        <v>102.03888136740565</v>
      </c>
      <c r="I125" s="11">
        <v>21</v>
      </c>
      <c r="J125" s="1">
        <f>+J$226*I125</f>
        <v>21.6945067264574</v>
      </c>
      <c r="K125" s="11">
        <v>784</v>
      </c>
      <c r="L125" s="1">
        <f>+L$226*K125</f>
        <v>840.9326680059621</v>
      </c>
      <c r="M125" s="11">
        <v>27</v>
      </c>
      <c r="N125" s="1">
        <f>+N$226*M125</f>
        <v>30.829199410609036</v>
      </c>
      <c r="O125" s="11">
        <v>481</v>
      </c>
      <c r="P125" s="1">
        <f>+P$226*O125</f>
        <v>572.3206690236607</v>
      </c>
      <c r="Q125" s="11">
        <v>480</v>
      </c>
      <c r="R125" s="1">
        <f>+R$226*Q125</f>
        <v>515.3002583011014</v>
      </c>
      <c r="S125" s="11">
        <v>743</v>
      </c>
      <c r="T125" s="1">
        <f>+T$226*S125</f>
        <v>857.5158201900352</v>
      </c>
      <c r="U125" s="11">
        <v>942</v>
      </c>
      <c r="V125" s="1">
        <f>+V$226*U125</f>
        <v>1002.3053112745666</v>
      </c>
      <c r="W125" s="11">
        <v>227</v>
      </c>
      <c r="X125" s="1">
        <f>+X$226*W125</f>
        <v>254.39243015548536</v>
      </c>
      <c r="Y125" s="11">
        <v>316</v>
      </c>
      <c r="Z125" s="1">
        <f>+Z$226*Y125</f>
        <v>355.2417444191029</v>
      </c>
      <c r="AA125">
        <f>+F125+H125+J125+L125+N125+P125+R125+T125+V125+X125+Z125</f>
        <v>4552.571488874387</v>
      </c>
      <c r="AB125" s="1"/>
    </row>
    <row r="126" spans="1:28" ht="12.75">
      <c r="A126" s="1" t="s">
        <v>21</v>
      </c>
      <c r="C126" s="1">
        <f t="shared" si="17"/>
        <v>111566623</v>
      </c>
      <c r="D126" s="1">
        <f t="shared" si="17"/>
        <v>124765695.49178457</v>
      </c>
      <c r="E126" s="11">
        <v>0</v>
      </c>
      <c r="F126" s="1">
        <f>+F$227*E126</f>
        <v>0</v>
      </c>
      <c r="G126" s="15">
        <v>2552317</v>
      </c>
      <c r="H126" s="1">
        <f>+H$227*G126</f>
        <v>3212231.3221716266</v>
      </c>
      <c r="I126" s="11">
        <v>687599</v>
      </c>
      <c r="J126" s="1">
        <f>+J$227*I126</f>
        <v>711406.1790855234</v>
      </c>
      <c r="K126" s="11">
        <v>16220481</v>
      </c>
      <c r="L126" s="1">
        <f>+L$227*K126</f>
        <v>17927785.70068377</v>
      </c>
      <c r="M126" s="11">
        <v>1431698</v>
      </c>
      <c r="N126" s="1">
        <f>+N$227*M126</f>
        <v>1601248.849495195</v>
      </c>
      <c r="O126" s="11">
        <v>26614399</v>
      </c>
      <c r="P126" s="1">
        <f>+P$227*O126</f>
        <v>30223579.574518714</v>
      </c>
      <c r="Q126" s="11">
        <v>21324214</v>
      </c>
      <c r="R126" s="1">
        <f>+R$227*Q126</f>
        <v>23101651.263373315</v>
      </c>
      <c r="S126" s="11">
        <v>15485008</v>
      </c>
      <c r="T126" s="1">
        <f>+T$227*S126</f>
        <v>18175280.884256523</v>
      </c>
      <c r="U126" s="11">
        <v>12291927</v>
      </c>
      <c r="V126" s="1">
        <f>+V$227*U126</f>
        <v>13115104.34061859</v>
      </c>
      <c r="W126" s="11">
        <v>3428848</v>
      </c>
      <c r="X126" s="1">
        <f>+X$227*W126</f>
        <v>3846947.851233126</v>
      </c>
      <c r="Y126" s="11">
        <v>11530132</v>
      </c>
      <c r="Z126" s="1">
        <f>+Z$227*Y126</f>
        <v>12850459.526348166</v>
      </c>
      <c r="AA126">
        <f>+F126+H126+J126+L126+N126+P126+R126+T126+V126+X126+Z126</f>
        <v>124765695.49178457</v>
      </c>
      <c r="AB126" s="1"/>
    </row>
    <row r="127" spans="1:26" ht="12.75">
      <c r="A127" s="1" t="s">
        <v>23</v>
      </c>
      <c r="C127" s="1"/>
      <c r="D127" s="1">
        <f>D126/(D125*12)</f>
        <v>2283.795282817781</v>
      </c>
      <c r="E127" s="11"/>
      <c r="F127" s="1"/>
      <c r="G127" s="15"/>
      <c r="H127" s="1">
        <f>H126/(H125*12)</f>
        <v>2623.3719923923954</v>
      </c>
      <c r="I127" s="11"/>
      <c r="J127" s="1">
        <f>J126/(J125*12)</f>
        <v>2732.6663382868114</v>
      </c>
      <c r="K127" s="11"/>
      <c r="L127" s="1">
        <f>L126/(L125*12)</f>
        <v>1776.577600756325</v>
      </c>
      <c r="M127" s="11"/>
      <c r="N127" s="1">
        <f>N126/(N125*12)</f>
        <v>4328.279899434583</v>
      </c>
      <c r="O127" s="11"/>
      <c r="P127" s="1">
        <f>P126/(P125*12)</f>
        <v>4400.735055587811</v>
      </c>
      <c r="Q127" s="11"/>
      <c r="R127" s="1">
        <f>R126/(R125*12)</f>
        <v>3735.9531152344366</v>
      </c>
      <c r="S127" s="11"/>
      <c r="T127" s="1">
        <f>T126/(T125*12)</f>
        <v>1766.2726502457485</v>
      </c>
      <c r="U127" s="11"/>
      <c r="V127" s="1">
        <f>V126/(V125*12)</f>
        <v>1090.4116235086228</v>
      </c>
      <c r="W127" s="11"/>
      <c r="X127" s="1">
        <f>X126/(X125*12)</f>
        <v>1260.1750272475551</v>
      </c>
      <c r="Y127" s="11"/>
      <c r="Z127" s="1">
        <f>Z126/(Z125*12)</f>
        <v>3014.487019105222</v>
      </c>
    </row>
    <row r="129" spans="1:26" ht="12.75">
      <c r="A129" s="1" t="s">
        <v>15</v>
      </c>
      <c r="E129" s="11"/>
      <c r="F129" s="1"/>
      <c r="G129" s="15"/>
      <c r="H129" s="1"/>
      <c r="I129" s="11"/>
      <c r="J129" s="1"/>
      <c r="K129" s="11"/>
      <c r="L129" s="1"/>
      <c r="M129" s="11"/>
      <c r="N129" s="1"/>
      <c r="O129" s="11"/>
      <c r="P129" s="1"/>
      <c r="Q129" s="11"/>
      <c r="R129" s="1"/>
      <c r="S129" s="11"/>
      <c r="T129" s="1"/>
      <c r="U129" s="11"/>
      <c r="V129" s="1"/>
      <c r="W129" s="11"/>
      <c r="X129" s="1"/>
      <c r="Y129" s="11"/>
      <c r="Z129" s="1"/>
    </row>
    <row r="130" spans="1:27" ht="12.75">
      <c r="A130" s="1" t="s">
        <v>18</v>
      </c>
      <c r="C130" s="1">
        <f aca="true" t="shared" si="18" ref="C130:D132">+E130+G130+I130+K130+M130+O130+Q130+S130+U130+W130+Y130</f>
        <v>1247</v>
      </c>
      <c r="D130" s="1">
        <f t="shared" si="18"/>
        <v>1573.13415501408</v>
      </c>
      <c r="E130" s="11">
        <v>2</v>
      </c>
      <c r="F130" s="1">
        <f>+F$225*E130</f>
        <v>3.7222222222222223</v>
      </c>
      <c r="G130" s="15">
        <v>113</v>
      </c>
      <c r="H130" s="1">
        <f>+H$225*G130</f>
        <v>177.19953143303397</v>
      </c>
      <c r="I130" s="11">
        <v>26</v>
      </c>
      <c r="J130" s="1">
        <f>+J$225*I130</f>
        <v>28.792528352234825</v>
      </c>
      <c r="K130" s="11">
        <v>241</v>
      </c>
      <c r="L130" s="1">
        <f>+L$225*K130</f>
        <v>330.7202225699878</v>
      </c>
      <c r="M130" s="11">
        <v>28</v>
      </c>
      <c r="N130" s="1">
        <f>+N$225*M130</f>
        <v>40.22073578595318</v>
      </c>
      <c r="O130" s="11">
        <v>206</v>
      </c>
      <c r="P130" s="1">
        <f>+P$225*O130</f>
        <v>238.13138231631385</v>
      </c>
      <c r="Q130" s="11">
        <v>261</v>
      </c>
      <c r="R130" s="1">
        <f>+R$225*Q130</f>
        <v>346.3365200764818</v>
      </c>
      <c r="S130" s="11">
        <v>179</v>
      </c>
      <c r="T130" s="1">
        <f>+T$225*S130</f>
        <v>195.4553301683211</v>
      </c>
      <c r="U130" s="11">
        <v>69</v>
      </c>
      <c r="V130" s="1">
        <f>+V$225*U130</f>
        <v>75.87757313109425</v>
      </c>
      <c r="W130" s="11">
        <v>101</v>
      </c>
      <c r="X130" s="1">
        <f>+X$225*W130</f>
        <v>113.80437158469945</v>
      </c>
      <c r="Y130" s="11">
        <v>21</v>
      </c>
      <c r="Z130" s="1">
        <f>+Z$225*Y130</f>
        <v>22.873737373737377</v>
      </c>
      <c r="AA130">
        <f>+F130+H130+J130+L130+N130+P130+R130+T130+V130+X130+Z130</f>
        <v>1573.13415501408</v>
      </c>
    </row>
    <row r="131" spans="1:27" ht="12.75">
      <c r="A131" s="1" t="s">
        <v>20</v>
      </c>
      <c r="C131" s="1">
        <f t="shared" si="18"/>
        <v>13012</v>
      </c>
      <c r="D131" s="1">
        <f t="shared" si="18"/>
        <v>14511.458849467988</v>
      </c>
      <c r="E131" s="11">
        <v>22</v>
      </c>
      <c r="F131" s="1">
        <f>+F$226*E131</f>
        <v>25.4358024691358</v>
      </c>
      <c r="G131" s="15">
        <v>504</v>
      </c>
      <c r="H131" s="1">
        <f>+H$226*G131</f>
        <v>650.9822304958537</v>
      </c>
      <c r="I131" s="11">
        <v>241</v>
      </c>
      <c r="J131" s="1">
        <f>+J$226*I131</f>
        <v>248.97029147982065</v>
      </c>
      <c r="K131" s="11">
        <v>2671</v>
      </c>
      <c r="L131" s="1">
        <f>+L$226*K131</f>
        <v>2864.963209494802</v>
      </c>
      <c r="M131" s="11">
        <v>477</v>
      </c>
      <c r="N131" s="1">
        <f>+N$226*M131</f>
        <v>544.6491895874263</v>
      </c>
      <c r="O131" s="11">
        <v>1205</v>
      </c>
      <c r="P131" s="1">
        <f>+P$226*O131</f>
        <v>1433.7763122110416</v>
      </c>
      <c r="Q131" s="11">
        <v>2292</v>
      </c>
      <c r="R131" s="1">
        <f>+R$226*Q131</f>
        <v>2460.5587333877593</v>
      </c>
      <c r="S131" s="11">
        <v>1908</v>
      </c>
      <c r="T131" s="1">
        <f>+T$226*S131</f>
        <v>2202.0729272174794</v>
      </c>
      <c r="U131" s="11">
        <v>1114</v>
      </c>
      <c r="V131" s="1">
        <f>+V$226*U131</f>
        <v>1185.3164721442329</v>
      </c>
      <c r="W131" s="11">
        <v>971</v>
      </c>
      <c r="X131" s="1">
        <f>+X$226*W131</f>
        <v>1088.1720250263272</v>
      </c>
      <c r="Y131" s="11">
        <v>1607</v>
      </c>
      <c r="Z131" s="1">
        <f>+Z$226*Y131</f>
        <v>1806.5616559541086</v>
      </c>
      <c r="AA131">
        <f>+F131+H131+J131+L131+N131+P131+R131+T131+V131+X131+Z131</f>
        <v>14511.458849467988</v>
      </c>
    </row>
    <row r="132" spans="1:27" ht="12.75">
      <c r="A132" s="1" t="s">
        <v>21</v>
      </c>
      <c r="C132" s="1">
        <f t="shared" si="18"/>
        <v>357646517</v>
      </c>
      <c r="D132" s="1">
        <f t="shared" si="18"/>
        <v>400307541.58421904</v>
      </c>
      <c r="E132" s="11">
        <v>1458386</v>
      </c>
      <c r="F132" s="1">
        <f>+F$227*E132</f>
        <v>1659573.4052622118</v>
      </c>
      <c r="G132" s="15">
        <v>14827239</v>
      </c>
      <c r="H132" s="1">
        <f>+H$227*G132</f>
        <v>18660895.781019643</v>
      </c>
      <c r="I132" s="11">
        <v>5891126</v>
      </c>
      <c r="J132" s="1">
        <f>+J$227*I132</f>
        <v>6095098.215924373</v>
      </c>
      <c r="K132" s="11">
        <v>57586381</v>
      </c>
      <c r="L132" s="1">
        <f>+L$227*K132</f>
        <v>63647699.34047748</v>
      </c>
      <c r="M132" s="11">
        <v>19981909</v>
      </c>
      <c r="N132" s="1">
        <f>+N$227*M132</f>
        <v>22348294.680140425</v>
      </c>
      <c r="O132" s="11">
        <v>40383853</v>
      </c>
      <c r="P132" s="1">
        <f>+P$227*O132</f>
        <v>45860310.22797721</v>
      </c>
      <c r="Q132" s="11">
        <v>94470349</v>
      </c>
      <c r="R132" s="1">
        <f>+R$227*Q132</f>
        <v>102344736.23868003</v>
      </c>
      <c r="S132" s="11">
        <v>51021533</v>
      </c>
      <c r="T132" s="1">
        <f>+T$227*S132</f>
        <v>59885709.67611792</v>
      </c>
      <c r="U132" s="11">
        <v>12185516</v>
      </c>
      <c r="V132" s="1">
        <f>+V$227*U132</f>
        <v>13001567.108580882</v>
      </c>
      <c r="W132" s="11">
        <f>14929046+29383</f>
        <v>14958429</v>
      </c>
      <c r="X132" s="1">
        <f>+X$227*W132</f>
        <v>16782399.30710643</v>
      </c>
      <c r="Y132" s="11">
        <v>44881796</v>
      </c>
      <c r="Z132" s="1">
        <f>+Z$227*Y132</f>
        <v>50021257.602932476</v>
      </c>
      <c r="AA132">
        <f>+F132+H132+J132+L132+N132+P132+R132+T132+V132+X132+Z132</f>
        <v>400307541.58421904</v>
      </c>
    </row>
    <row r="133" spans="1:26" ht="12.75">
      <c r="A133" s="1" t="s">
        <v>23</v>
      </c>
      <c r="C133" s="1"/>
      <c r="D133" s="1">
        <f>D132/(D131*12)</f>
        <v>2298.8013916952195</v>
      </c>
      <c r="E133" s="11"/>
      <c r="F133" s="1">
        <f>F132/(F131*12)</f>
        <v>5437.130750628516</v>
      </c>
      <c r="G133" s="15"/>
      <c r="H133" s="1">
        <f>H132/(H131*12)</f>
        <v>2388.8127441417287</v>
      </c>
      <c r="I133" s="11"/>
      <c r="J133" s="1">
        <f>J132/(J131*12)</f>
        <v>2040.1022479752328</v>
      </c>
      <c r="K133" s="11"/>
      <c r="L133" s="1">
        <f>L132/(L131*12)</f>
        <v>1851.323928859483</v>
      </c>
      <c r="M133" s="11"/>
      <c r="N133" s="1">
        <f>N132/(N131*12)</f>
        <v>3419.3714515988627</v>
      </c>
      <c r="O133" s="11"/>
      <c r="P133" s="1">
        <f>P132/(P131*12)</f>
        <v>2665.473328335735</v>
      </c>
      <c r="Q133" s="11"/>
      <c r="R133" s="1">
        <f>R132/(R131*12)</f>
        <v>3466.1753463399086</v>
      </c>
      <c r="S133" s="11"/>
      <c r="T133" s="1">
        <f>T132/(T131*12)</f>
        <v>2266.2627312025866</v>
      </c>
      <c r="U133" s="11"/>
      <c r="V133" s="1">
        <f>V132/(V131*12)</f>
        <v>914.0714325475385</v>
      </c>
      <c r="W133" s="11"/>
      <c r="X133" s="1">
        <f>X132/(X131*12)</f>
        <v>1285.2134069136416</v>
      </c>
      <c r="Y133" s="11"/>
      <c r="Z133" s="1">
        <f>Z132/(Z131*12)</f>
        <v>2307.38769409794</v>
      </c>
    </row>
    <row r="136" spans="12:26" ht="12.75">
      <c r="L136" s="1" t="s">
        <v>196</v>
      </c>
      <c r="R136" s="1"/>
      <c r="Z136" s="1"/>
    </row>
    <row r="137" spans="14:26" ht="12.75">
      <c r="N137" s="1" t="s">
        <v>189</v>
      </c>
      <c r="Z137" s="1"/>
    </row>
    <row r="138" spans="14:26" ht="12.75">
      <c r="N138" s="1"/>
      <c r="Z138" s="1"/>
    </row>
    <row r="139" spans="1:26" ht="12.75">
      <c r="A139" s="1"/>
      <c r="B139" s="1"/>
      <c r="C139" s="1"/>
      <c r="D139" s="1"/>
      <c r="E139" s="11"/>
      <c r="F139" s="1"/>
      <c r="G139" s="11"/>
      <c r="H139" s="1"/>
      <c r="I139" s="11"/>
      <c r="J139" s="1"/>
      <c r="K139" s="11"/>
      <c r="L139" s="1"/>
      <c r="M139" s="11"/>
      <c r="N139" s="1"/>
      <c r="O139" s="11"/>
      <c r="P139" s="1"/>
      <c r="Q139" s="11"/>
      <c r="R139" s="1"/>
      <c r="S139" s="11"/>
      <c r="T139" s="1"/>
      <c r="U139" s="11"/>
      <c r="V139" s="1"/>
      <c r="W139" s="11"/>
      <c r="X139" s="1"/>
      <c r="Y139" s="11"/>
      <c r="Z139" s="1"/>
    </row>
    <row r="140" spans="1:26" ht="12.75">
      <c r="A140" s="1"/>
      <c r="B140" s="1"/>
      <c r="C140" s="1"/>
      <c r="D140" s="2"/>
      <c r="E140" s="11"/>
      <c r="F140" s="1"/>
      <c r="G140" s="11"/>
      <c r="H140" s="1"/>
      <c r="I140" s="11"/>
      <c r="J140" s="1"/>
      <c r="K140" s="11"/>
      <c r="L140" s="1" t="s">
        <v>124</v>
      </c>
      <c r="M140" s="11"/>
      <c r="N140" s="1"/>
      <c r="O140" s="11"/>
      <c r="P140" s="1"/>
      <c r="Q140" s="11"/>
      <c r="R140" s="1"/>
      <c r="S140" s="11"/>
      <c r="T140" s="1"/>
      <c r="U140" s="11"/>
      <c r="V140" s="1"/>
      <c r="W140" s="11"/>
      <c r="X140" s="1"/>
      <c r="Y140" s="11"/>
      <c r="Z140" s="1"/>
    </row>
    <row r="141" spans="1:26" ht="12.75">
      <c r="A141" s="1"/>
      <c r="B141" s="1"/>
      <c r="C141" s="1"/>
      <c r="D141" s="1"/>
      <c r="E141" s="11"/>
      <c r="F141" s="1"/>
      <c r="G141" s="11"/>
      <c r="H141" s="1"/>
      <c r="I141" s="11"/>
      <c r="J141" s="1"/>
      <c r="K141" s="11"/>
      <c r="L141" s="1" t="s">
        <v>187</v>
      </c>
      <c r="M141" s="11"/>
      <c r="N141" s="1"/>
      <c r="O141" s="11"/>
      <c r="P141" s="2" t="s">
        <v>128</v>
      </c>
      <c r="Q141" s="12"/>
      <c r="R141" s="1" t="s">
        <v>129</v>
      </c>
      <c r="S141" s="11"/>
      <c r="T141" s="2" t="s">
        <v>131</v>
      </c>
      <c r="U141" s="12"/>
      <c r="V141" s="2" t="s">
        <v>133</v>
      </c>
      <c r="W141" s="12"/>
      <c r="X141" s="2" t="s">
        <v>140</v>
      </c>
      <c r="Y141" s="12"/>
      <c r="Z141" s="1"/>
    </row>
    <row r="142" spans="1:26" ht="12.75">
      <c r="A142" s="1" t="s">
        <v>185</v>
      </c>
      <c r="B142" s="1"/>
      <c r="C142" s="1"/>
      <c r="D142" s="2" t="s">
        <v>184</v>
      </c>
      <c r="E142" s="12" t="s">
        <v>144</v>
      </c>
      <c r="F142" s="2" t="s">
        <v>7</v>
      </c>
      <c r="G142" s="11" t="s">
        <v>145</v>
      </c>
      <c r="H142" s="1" t="s">
        <v>8</v>
      </c>
      <c r="I142" s="11" t="s">
        <v>146</v>
      </c>
      <c r="J142" s="2" t="s">
        <v>9</v>
      </c>
      <c r="K142" s="11" t="s">
        <v>147</v>
      </c>
      <c r="L142" s="1" t="s">
        <v>125</v>
      </c>
      <c r="M142" s="11" t="s">
        <v>148</v>
      </c>
      <c r="N142" s="2" t="s">
        <v>126</v>
      </c>
      <c r="O142" s="12" t="s">
        <v>149</v>
      </c>
      <c r="P142" s="2" t="s">
        <v>127</v>
      </c>
      <c r="Q142" s="12" t="s">
        <v>150</v>
      </c>
      <c r="R142" s="1" t="s">
        <v>130</v>
      </c>
      <c r="S142" s="11" t="s">
        <v>151</v>
      </c>
      <c r="T142" s="2" t="s">
        <v>132</v>
      </c>
      <c r="U142" s="12" t="s">
        <v>152</v>
      </c>
      <c r="V142" s="2" t="s">
        <v>134</v>
      </c>
      <c r="W142" s="12" t="s">
        <v>153</v>
      </c>
      <c r="X142" s="2" t="s">
        <v>141</v>
      </c>
      <c r="Y142" s="12" t="s">
        <v>154</v>
      </c>
      <c r="Z142" s="2" t="s">
        <v>94</v>
      </c>
    </row>
    <row r="143" ht="12.75">
      <c r="A143" s="1"/>
    </row>
    <row r="144" ht="12.75">
      <c r="A144" s="1" t="s">
        <v>28</v>
      </c>
    </row>
    <row r="145" spans="1:26" ht="12.75">
      <c r="A145" s="1" t="s">
        <v>18</v>
      </c>
      <c r="C145" s="1">
        <f aca="true" t="shared" si="19" ref="C145:D147">+E145+G145+I145+K145+M145+O145+Q145+S145+U145+W145+Y145</f>
        <v>169</v>
      </c>
      <c r="D145" s="1">
        <f t="shared" si="19"/>
        <v>206.10428145583523</v>
      </c>
      <c r="E145" s="11">
        <v>0</v>
      </c>
      <c r="F145" s="1">
        <f>+F$225*E145</f>
        <v>0</v>
      </c>
      <c r="G145" s="15">
        <v>3</v>
      </c>
      <c r="H145" s="1">
        <f>+H$225*G145</f>
        <v>4.704412338930105</v>
      </c>
      <c r="I145" s="11">
        <v>4</v>
      </c>
      <c r="J145" s="1">
        <f>+J$225*I145</f>
        <v>4.429619746497665</v>
      </c>
      <c r="K145" s="11">
        <v>12</v>
      </c>
      <c r="L145" s="1">
        <f>+L$225*K145</f>
        <v>16.467396974439225</v>
      </c>
      <c r="M145" s="11">
        <v>7</v>
      </c>
      <c r="N145" s="1">
        <f>+N$225*M145</f>
        <v>10.055183946488295</v>
      </c>
      <c r="O145" s="11">
        <v>15</v>
      </c>
      <c r="P145" s="1">
        <f>+P$225*O145</f>
        <v>17.339663760896638</v>
      </c>
      <c r="Q145" s="11">
        <v>55</v>
      </c>
      <c r="R145" s="1">
        <f>+R$225*Q145</f>
        <v>72.98279158699809</v>
      </c>
      <c r="S145" s="11">
        <v>41</v>
      </c>
      <c r="T145" s="1">
        <f>+T$225*S145</f>
        <v>44.76909797151489</v>
      </c>
      <c r="U145" s="11">
        <v>12</v>
      </c>
      <c r="V145" s="1">
        <f>+V$225*U145</f>
        <v>13.196099674972913</v>
      </c>
      <c r="W145" s="11">
        <v>10</v>
      </c>
      <c r="X145" s="1">
        <f>+X$225*W145</f>
        <v>11.26775956284153</v>
      </c>
      <c r="Y145" s="11">
        <v>10</v>
      </c>
      <c r="Z145" s="1">
        <f>+Z$225*Y145</f>
        <v>10.892255892255893</v>
      </c>
    </row>
    <row r="146" spans="1:26" ht="12.75">
      <c r="A146" s="1" t="s">
        <v>20</v>
      </c>
      <c r="C146" s="1">
        <f t="shared" si="19"/>
        <v>26580</v>
      </c>
      <c r="D146" s="1">
        <f t="shared" si="19"/>
        <v>29838.191286848865</v>
      </c>
      <c r="E146" s="11">
        <v>0</v>
      </c>
      <c r="F146" s="1">
        <f>+F$226*E146</f>
        <v>0</v>
      </c>
      <c r="G146" s="15">
        <v>5</v>
      </c>
      <c r="H146" s="1">
        <f>+H$226*G146</f>
        <v>6.458157048569978</v>
      </c>
      <c r="I146" s="11">
        <v>774</v>
      </c>
      <c r="J146" s="1">
        <f>+J$226*I146</f>
        <v>799.5975336322871</v>
      </c>
      <c r="K146" s="11">
        <v>120</v>
      </c>
      <c r="L146" s="1">
        <f>+L$226*K146</f>
        <v>128.7141838784636</v>
      </c>
      <c r="M146" s="11">
        <v>58</v>
      </c>
      <c r="N146" s="1">
        <f>+N$226*M146</f>
        <v>66.22568762278978</v>
      </c>
      <c r="O146" s="11">
        <v>100</v>
      </c>
      <c r="P146" s="1">
        <f>+P$226*O146</f>
        <v>118.98558607560513</v>
      </c>
      <c r="Q146" s="11">
        <v>1568</v>
      </c>
      <c r="R146" s="1">
        <f>+R$226*Q146</f>
        <v>1683.3141771169314</v>
      </c>
      <c r="S146" s="11">
        <v>4153</v>
      </c>
      <c r="T146" s="1">
        <f>+T$226*S146</f>
        <v>4793.08640814161</v>
      </c>
      <c r="U146" s="11">
        <v>307</v>
      </c>
      <c r="V146" s="1">
        <f>+V$226*U146</f>
        <v>326.653641784811</v>
      </c>
      <c r="W146" s="11">
        <v>224</v>
      </c>
      <c r="X146" s="1">
        <f>+X$226*W146</f>
        <v>251.0304156600384</v>
      </c>
      <c r="Y146" s="11">
        <v>19271</v>
      </c>
      <c r="Z146" s="1">
        <f>+Z$226*Y146</f>
        <v>21664.125495887758</v>
      </c>
    </row>
    <row r="147" spans="1:27" ht="12.75">
      <c r="A147" s="1" t="s">
        <v>21</v>
      </c>
      <c r="C147" s="1">
        <f t="shared" si="19"/>
        <v>1082039041</v>
      </c>
      <c r="D147" s="1">
        <f t="shared" si="19"/>
        <v>1207754793.7273498</v>
      </c>
      <c r="E147" s="11">
        <v>0</v>
      </c>
      <c r="F147" s="1">
        <f>+F$227*E147</f>
        <v>0</v>
      </c>
      <c r="G147" s="15">
        <v>118160</v>
      </c>
      <c r="H147" s="1">
        <f>+H$227*G147</f>
        <v>148710.8588109547</v>
      </c>
      <c r="I147" s="11">
        <v>54731967</v>
      </c>
      <c r="J147" s="1">
        <f>+J$227*I147</f>
        <v>56626986.82997642</v>
      </c>
      <c r="K147" s="11">
        <v>8791322</v>
      </c>
      <c r="L147" s="1">
        <f>+L$227*K147</f>
        <v>9716662.338293584</v>
      </c>
      <c r="M147" s="11">
        <v>3977635</v>
      </c>
      <c r="N147" s="1">
        <f>+N$227*M147</f>
        <v>4448692.01986859</v>
      </c>
      <c r="O147" s="11">
        <v>3007819</v>
      </c>
      <c r="P147" s="1">
        <f>+P$227*O147</f>
        <v>3415709.552270908</v>
      </c>
      <c r="Q147" s="11">
        <v>101185669</v>
      </c>
      <c r="R147" s="1">
        <f>+R$227*Q147</f>
        <v>109619798.32359233</v>
      </c>
      <c r="S147" s="11">
        <v>161318337</v>
      </c>
      <c r="T147" s="1">
        <f>+T$227*S147</f>
        <v>189344822.21489015</v>
      </c>
      <c r="U147" s="11">
        <v>5581600</v>
      </c>
      <c r="V147" s="1">
        <f>+V$227*U147</f>
        <v>5955393.844073164</v>
      </c>
      <c r="W147" s="11">
        <v>4361510</v>
      </c>
      <c r="X147" s="1">
        <f>+X$227*W147</f>
        <v>4893334.881753811</v>
      </c>
      <c r="Y147" s="11">
        <v>738965022</v>
      </c>
      <c r="Z147" s="1">
        <f>+Z$227*Y147</f>
        <v>823584682.86382</v>
      </c>
      <c r="AA147">
        <f>+F145+H145+J145+L145+N145+P145+R145+T145+V145+X145+Z145</f>
        <v>206.10428145583523</v>
      </c>
    </row>
    <row r="148" spans="1:27" ht="12.75">
      <c r="A148" s="1" t="s">
        <v>23</v>
      </c>
      <c r="C148" s="1"/>
      <c r="D148" s="1">
        <f>D147/(D146*12)</f>
        <v>3373.0674839856038</v>
      </c>
      <c r="E148" s="11"/>
      <c r="F148" s="1"/>
      <c r="G148" s="15"/>
      <c r="H148" s="1">
        <f>H147/(H146*12)</f>
        <v>1918.9021688971827</v>
      </c>
      <c r="I148" s="11"/>
      <c r="J148" s="1">
        <f>J147/(J146*12)</f>
        <v>5901.6134626233115</v>
      </c>
      <c r="K148" s="11"/>
      <c r="L148" s="1">
        <f>L147/(L146*12)</f>
        <v>6290.851848068531</v>
      </c>
      <c r="M148" s="11"/>
      <c r="N148" s="1">
        <f>N147/(N146*12)</f>
        <v>5597.893329558641</v>
      </c>
      <c r="O148" s="11"/>
      <c r="P148" s="1">
        <f>P147/(P146*12)</f>
        <v>2392.2432294309706</v>
      </c>
      <c r="Q148" s="11"/>
      <c r="R148" s="1">
        <f>R147/(R146*12)</f>
        <v>5426.784445716774</v>
      </c>
      <c r="S148" s="11"/>
      <c r="T148" s="1">
        <f>T147/(T146*12)</f>
        <v>3291.978036901688</v>
      </c>
      <c r="U148" s="11"/>
      <c r="V148" s="1">
        <f>V147/(V146*12)</f>
        <v>1519.293700899149</v>
      </c>
      <c r="W148" s="11"/>
      <c r="X148" s="1">
        <f>X147/(X146*12)</f>
        <v>1624.416331147126</v>
      </c>
      <c r="Y148" s="11"/>
      <c r="Z148" s="1">
        <f>Z147/(Z146*12)</f>
        <v>3168.0049544739727</v>
      </c>
      <c r="AA148">
        <f>+F146+H146+J146+L146+N146+P146+R146+T146+V146+X146+Z146</f>
        <v>29838.191286848865</v>
      </c>
    </row>
    <row r="149" spans="1:27" ht="12.75">
      <c r="A149" s="1"/>
      <c r="AA149">
        <f>+F147+H147+J147+L147+N147+P147+R147+T147+V147+X147+Z147</f>
        <v>1207754793.7273498</v>
      </c>
    </row>
    <row r="150" ht="12.75">
      <c r="A150" s="1" t="s">
        <v>39</v>
      </c>
    </row>
    <row r="151" spans="1:26" ht="12.75">
      <c r="A151" s="1" t="s">
        <v>18</v>
      </c>
      <c r="C151" s="1">
        <f aca="true" t="shared" si="20" ref="C151:D153">+E151+G151+I151+K151+M151+O151+Q151+S151+U151+W151+Y151</f>
        <v>811</v>
      </c>
      <c r="D151" s="1">
        <f t="shared" si="20"/>
        <v>1033.842160365194</v>
      </c>
      <c r="E151" s="11">
        <v>1</v>
      </c>
      <c r="F151" s="1">
        <f>+F$225*E151</f>
        <v>1.8611111111111112</v>
      </c>
      <c r="G151" s="15">
        <v>54</v>
      </c>
      <c r="H151" s="1">
        <f>+H$225*G151</f>
        <v>84.67942210074189</v>
      </c>
      <c r="I151" s="11">
        <v>90</v>
      </c>
      <c r="J151" s="1">
        <f>+J$225*I151</f>
        <v>99.66644429619747</v>
      </c>
      <c r="K151" s="11">
        <v>265</v>
      </c>
      <c r="L151" s="1">
        <f>+L$225*K151</f>
        <v>363.65501651886626</v>
      </c>
      <c r="M151" s="11">
        <v>17</v>
      </c>
      <c r="N151" s="1">
        <f>+N$225*M151</f>
        <v>24.419732441471574</v>
      </c>
      <c r="O151" s="11">
        <v>67</v>
      </c>
      <c r="P151" s="1">
        <f>+P$225*O151</f>
        <v>77.45049813200498</v>
      </c>
      <c r="Q151" s="11">
        <v>142</v>
      </c>
      <c r="R151" s="1">
        <f>+R$225*Q151</f>
        <v>188.4282982791587</v>
      </c>
      <c r="S151" s="11">
        <v>33</v>
      </c>
      <c r="T151" s="1">
        <f>+T$225*S151</f>
        <v>36.033664220975396</v>
      </c>
      <c r="U151" s="11">
        <v>55</v>
      </c>
      <c r="V151" s="1">
        <f>+V$225*U151</f>
        <v>60.482123510292524</v>
      </c>
      <c r="W151" s="11">
        <v>64</v>
      </c>
      <c r="X151" s="1">
        <f>+X$225*W151</f>
        <v>72.1136612021858</v>
      </c>
      <c r="Y151" s="11">
        <v>23</v>
      </c>
      <c r="Z151" s="1">
        <f>+Z$225*Y151</f>
        <v>25.052188552188554</v>
      </c>
    </row>
    <row r="152" spans="1:26" ht="12.75">
      <c r="A152" s="1" t="s">
        <v>20</v>
      </c>
      <c r="C152" s="1">
        <f t="shared" si="20"/>
        <v>16654</v>
      </c>
      <c r="D152" s="1">
        <f t="shared" si="20"/>
        <v>18313.65648152811</v>
      </c>
      <c r="E152" s="11">
        <v>4</v>
      </c>
      <c r="F152" s="1">
        <f>+F$226*E152</f>
        <v>4.624691358024691</v>
      </c>
      <c r="G152" s="15">
        <v>1296</v>
      </c>
      <c r="H152" s="1">
        <f>+H$226*G152</f>
        <v>1673.9543069893382</v>
      </c>
      <c r="I152" s="11">
        <v>2612</v>
      </c>
      <c r="J152" s="1">
        <f>+J$226*I152</f>
        <v>2698.3834080717493</v>
      </c>
      <c r="K152" s="11">
        <v>4211</v>
      </c>
      <c r="L152" s="1">
        <f>+L$226*K152</f>
        <v>4516.795235935085</v>
      </c>
      <c r="M152" s="11">
        <v>635</v>
      </c>
      <c r="N152" s="1">
        <f>+N$226*M152</f>
        <v>725.0570972495088</v>
      </c>
      <c r="O152" s="11">
        <v>522</v>
      </c>
      <c r="P152" s="1">
        <f>+P$226*O152</f>
        <v>621.1047593146587</v>
      </c>
      <c r="Q152" s="11">
        <v>4026</v>
      </c>
      <c r="R152" s="1">
        <f>+R$226*Q152</f>
        <v>4322.0809165004885</v>
      </c>
      <c r="S152" s="11">
        <v>806</v>
      </c>
      <c r="T152" s="1">
        <f>+T$226*S152</f>
        <v>930.2257753340085</v>
      </c>
      <c r="U152" s="11">
        <v>577</v>
      </c>
      <c r="V152" s="1">
        <f>+V$226*U152</f>
        <v>613.9386036151009</v>
      </c>
      <c r="W152" s="11">
        <v>435</v>
      </c>
      <c r="X152" s="1">
        <f>+X$226*W152</f>
        <v>487.4921018398067</v>
      </c>
      <c r="Y152" s="11">
        <v>1530</v>
      </c>
      <c r="Z152" s="1">
        <f>+Z$226*Y152</f>
        <v>1719.99958532034</v>
      </c>
    </row>
    <row r="153" spans="1:27" ht="12.75">
      <c r="A153" s="1" t="s">
        <v>21</v>
      </c>
      <c r="C153" s="1">
        <f t="shared" si="20"/>
        <v>510254611</v>
      </c>
      <c r="D153" s="1">
        <f t="shared" si="20"/>
        <v>567162858.1079375</v>
      </c>
      <c r="E153" s="11">
        <v>25800</v>
      </c>
      <c r="F153" s="1">
        <f>+F$227*E153</f>
        <v>29359.16407299924</v>
      </c>
      <c r="G153" s="15">
        <v>58305187</v>
      </c>
      <c r="H153" s="1">
        <f>+H$227*G153</f>
        <v>73380284.6301905</v>
      </c>
      <c r="I153" s="11">
        <v>79283696</v>
      </c>
      <c r="J153" s="1">
        <f>+J$227*I153</f>
        <v>82028786.01501484</v>
      </c>
      <c r="K153" s="11">
        <v>138567172</v>
      </c>
      <c r="L153" s="1">
        <f>+L$227*K153</f>
        <v>153152213.2275725</v>
      </c>
      <c r="M153" s="11">
        <v>19038619</v>
      </c>
      <c r="N153" s="1">
        <f>+N$227*M153</f>
        <v>21293294.23504633</v>
      </c>
      <c r="O153" s="11">
        <v>16912007</v>
      </c>
      <c r="P153" s="1">
        <f>+P$227*O153</f>
        <v>19205445.493220326</v>
      </c>
      <c r="Q153" s="11">
        <v>115575959</v>
      </c>
      <c r="R153" s="1">
        <f>+R$227*Q153</f>
        <v>125209562.20228949</v>
      </c>
      <c r="S153" s="11">
        <v>18501069</v>
      </c>
      <c r="T153" s="1">
        <f>+T$227*S153</f>
        <v>21715334.324270993</v>
      </c>
      <c r="U153" s="11">
        <v>6684525</v>
      </c>
      <c r="V153" s="1">
        <f>+V$227*U153</f>
        <v>7132180.563915933</v>
      </c>
      <c r="W153" s="11">
        <v>11771376</v>
      </c>
      <c r="X153" s="1">
        <f>+X$227*W153</f>
        <v>13206729.959816588</v>
      </c>
      <c r="Y153" s="11">
        <v>45589201</v>
      </c>
      <c r="Z153" s="1">
        <f>+Z$227*Y153</f>
        <v>50809668.292527035</v>
      </c>
      <c r="AA153">
        <f>+F151+H151+J151+L151+N151+P151+R151+T151+V151+X151+Z151</f>
        <v>1033.842160365194</v>
      </c>
    </row>
    <row r="154" spans="1:27" ht="12.75">
      <c r="A154" s="1" t="s">
        <v>23</v>
      </c>
      <c r="C154" s="1"/>
      <c r="D154" s="1">
        <f>D153/(D152*12)</f>
        <v>2580.7829013647124</v>
      </c>
      <c r="E154" s="11"/>
      <c r="F154" s="2" t="s">
        <v>32</v>
      </c>
      <c r="G154" s="15"/>
      <c r="H154" s="1">
        <f>H153/(H152*12)</f>
        <v>3653.041002164876</v>
      </c>
      <c r="I154" s="11"/>
      <c r="J154" s="1">
        <f>J153/(J152*12)</f>
        <v>2533.2694188194264</v>
      </c>
      <c r="K154" s="11"/>
      <c r="L154" s="1">
        <f>L153/(L152*12)</f>
        <v>2825.6061585640737</v>
      </c>
      <c r="M154" s="11"/>
      <c r="N154" s="1">
        <f>N153/(N152*12)</f>
        <v>2447.312346827818</v>
      </c>
      <c r="O154" s="11"/>
      <c r="P154" s="1">
        <f>P153/(P152*12)</f>
        <v>2576.7855858449243</v>
      </c>
      <c r="Q154" s="11"/>
      <c r="R154" s="1">
        <f>R153/(R152*12)</f>
        <v>2414.145034557209</v>
      </c>
      <c r="S154" s="11"/>
      <c r="T154" s="1">
        <f>T153/(T152*12)</f>
        <v>1945.3462177389004</v>
      </c>
      <c r="U154" s="11"/>
      <c r="V154" s="1">
        <f>V153/(V152*12)</f>
        <v>968.0909081569092</v>
      </c>
      <c r="W154" s="11"/>
      <c r="X154" s="1">
        <f>X153/(X152*12)</f>
        <v>2257.597253024558</v>
      </c>
      <c r="Y154" s="11"/>
      <c r="Z154" s="1">
        <f>Z153/(Z152*12)</f>
        <v>2461.709328603512</v>
      </c>
      <c r="AA154">
        <f>+F152+H152+J152+L152+N152+P152+R152+T152+V152+X152+Z152</f>
        <v>18313.65648152811</v>
      </c>
    </row>
    <row r="155" spans="1:27" ht="12.75">
      <c r="A155" s="1"/>
      <c r="AA155">
        <f>+F153+H153+J153+L153+N153+P153+R153+T153+V153+X153+Z153</f>
        <v>567162858.1079375</v>
      </c>
    </row>
    <row r="156" ht="12.75">
      <c r="A156" s="1" t="s">
        <v>48</v>
      </c>
    </row>
    <row r="157" spans="1:26" ht="12.75">
      <c r="A157" s="1" t="s">
        <v>18</v>
      </c>
      <c r="C157" s="1">
        <f aca="true" t="shared" si="21" ref="C157:D159">+E157+G157+I157+K157+M157+O157+Q157+S157+U157+W157+Y157</f>
        <v>1405</v>
      </c>
      <c r="D157" s="1">
        <f t="shared" si="21"/>
        <v>1806.0471009403773</v>
      </c>
      <c r="E157" s="11">
        <v>1</v>
      </c>
      <c r="F157" s="1">
        <f>+F$225*E157</f>
        <v>1.8611111111111112</v>
      </c>
      <c r="G157" s="15">
        <v>139</v>
      </c>
      <c r="H157" s="1">
        <f>+H$225*G157</f>
        <v>217.97110503709487</v>
      </c>
      <c r="I157" s="11">
        <v>163</v>
      </c>
      <c r="J157" s="1">
        <f>+J$225*I157</f>
        <v>180.50700466977986</v>
      </c>
      <c r="K157" s="11">
        <v>497</v>
      </c>
      <c r="L157" s="1">
        <f>+L$225*K157</f>
        <v>682.0246913580246</v>
      </c>
      <c r="M157" s="11">
        <v>18</v>
      </c>
      <c r="N157" s="1">
        <f>+N$225*M157</f>
        <v>25.8561872909699</v>
      </c>
      <c r="O157" s="11">
        <v>119</v>
      </c>
      <c r="P157" s="1">
        <f>+P$225*O157</f>
        <v>137.56133250311333</v>
      </c>
      <c r="Q157" s="11">
        <v>190</v>
      </c>
      <c r="R157" s="1">
        <f>+R$225*Q157</f>
        <v>252.12237093690248</v>
      </c>
      <c r="S157" s="11">
        <v>52</v>
      </c>
      <c r="T157" s="1">
        <f>+T$225*S157</f>
        <v>56.78031937850669</v>
      </c>
      <c r="U157" s="11">
        <v>77</v>
      </c>
      <c r="V157" s="1">
        <f>+V$225*U157</f>
        <v>84.67497291440954</v>
      </c>
      <c r="W157" s="11">
        <v>117</v>
      </c>
      <c r="X157" s="1">
        <f>+X$225*W157</f>
        <v>131.8327868852459</v>
      </c>
      <c r="Y157" s="11">
        <v>32</v>
      </c>
      <c r="Z157" s="1">
        <f>+Z$225*Y157</f>
        <v>34.85521885521886</v>
      </c>
    </row>
    <row r="158" spans="1:26" ht="12.75">
      <c r="A158" s="1" t="s">
        <v>20</v>
      </c>
      <c r="C158" s="1">
        <f t="shared" si="21"/>
        <v>26526</v>
      </c>
      <c r="D158" s="1">
        <f t="shared" si="21"/>
        <v>29362.665809594328</v>
      </c>
      <c r="E158" s="11">
        <v>6</v>
      </c>
      <c r="F158" s="1">
        <f>+F$226*E158</f>
        <v>6.937037037037037</v>
      </c>
      <c r="G158" s="15">
        <v>2512</v>
      </c>
      <c r="H158" s="1">
        <f>+H$226*G158</f>
        <v>3244.578101201557</v>
      </c>
      <c r="I158" s="11">
        <v>4370</v>
      </c>
      <c r="J158" s="1">
        <f>+J$226*I158</f>
        <v>4514.523542600898</v>
      </c>
      <c r="K158" s="11">
        <v>6926</v>
      </c>
      <c r="L158" s="1">
        <f>+L$226*K158</f>
        <v>7428.953646185323</v>
      </c>
      <c r="M158" s="11">
        <v>461</v>
      </c>
      <c r="N158" s="1">
        <f>+N$226*M158</f>
        <v>526.3800343811395</v>
      </c>
      <c r="O158" s="11">
        <v>1438</v>
      </c>
      <c r="P158" s="1">
        <f>+P$226*O158</f>
        <v>1711.0127277672016</v>
      </c>
      <c r="Q158" s="11">
        <v>3781</v>
      </c>
      <c r="R158" s="1">
        <f>+R$226*Q158</f>
        <v>4059.063076325968</v>
      </c>
      <c r="S158" s="11">
        <v>838</v>
      </c>
      <c r="T158" s="1">
        <f>+T$226*S158</f>
        <v>967.1578160420586</v>
      </c>
      <c r="U158" s="11">
        <v>947</v>
      </c>
      <c r="V158" s="1">
        <f>+V$226*U158</f>
        <v>1007.6254031603128</v>
      </c>
      <c r="W158" s="11">
        <v>613</v>
      </c>
      <c r="X158" s="1">
        <f>+X$226*W158</f>
        <v>686.9716285696586</v>
      </c>
      <c r="Y158" s="11">
        <v>4634</v>
      </c>
      <c r="Z158" s="1">
        <f>+Z$226*Y158</f>
        <v>5209.462796323173</v>
      </c>
    </row>
    <row r="159" spans="1:27" ht="12.75">
      <c r="A159" s="1" t="s">
        <v>21</v>
      </c>
      <c r="C159" s="1">
        <f t="shared" si="21"/>
        <v>842979621</v>
      </c>
      <c r="D159" s="1">
        <f t="shared" si="21"/>
        <v>937705903.793363</v>
      </c>
      <c r="E159" s="11">
        <v>707625</v>
      </c>
      <c r="F159" s="1">
        <f>+F$227*E159</f>
        <v>805243.3518277552</v>
      </c>
      <c r="G159" s="15">
        <v>89197621</v>
      </c>
      <c r="H159" s="1">
        <f>+H$227*G159</f>
        <v>112260111.90592456</v>
      </c>
      <c r="I159" s="11">
        <v>143659692</v>
      </c>
      <c r="J159" s="1">
        <f>+J$227*I159</f>
        <v>148633713.21703947</v>
      </c>
      <c r="K159" s="11">
        <v>252306337</v>
      </c>
      <c r="L159" s="1">
        <f>+L$227*K159</f>
        <v>278863120.06780195</v>
      </c>
      <c r="M159" s="11">
        <v>12023221</v>
      </c>
      <c r="N159" s="1">
        <f>+N$227*M159</f>
        <v>13447087.85894544</v>
      </c>
      <c r="O159" s="11">
        <v>61261995</v>
      </c>
      <c r="P159" s="1">
        <f>+P$227*O159</f>
        <v>69569738.57558337</v>
      </c>
      <c r="Q159" s="11">
        <v>97614610</v>
      </c>
      <c r="R159" s="1">
        <f>+R$227*Q159</f>
        <v>105751080.83375047</v>
      </c>
      <c r="S159" s="11">
        <v>21080997</v>
      </c>
      <c r="T159" s="1">
        <f>+T$227*S159</f>
        <v>24743483.61945755</v>
      </c>
      <c r="U159" s="11">
        <v>10835493</v>
      </c>
      <c r="V159" s="1">
        <f>+V$227*U159</f>
        <v>11561134.497222636</v>
      </c>
      <c r="W159" s="11">
        <v>14952039</v>
      </c>
      <c r="X159" s="1">
        <f>+X$227*W159</f>
        <v>16775230.136361804</v>
      </c>
      <c r="Y159" s="11">
        <v>139339991</v>
      </c>
      <c r="Z159" s="1">
        <f>+Z$227*Y159</f>
        <v>155295959.7294478</v>
      </c>
      <c r="AA159">
        <f>+F157+H157+J157+L157+N157+P157+R157+T157+V157+X157+Z157</f>
        <v>1806.0471009403773</v>
      </c>
    </row>
    <row r="160" spans="1:27" ht="12.75">
      <c r="A160" s="1" t="s">
        <v>23</v>
      </c>
      <c r="C160" s="1"/>
      <c r="D160" s="1">
        <f>D159/(D158*12)</f>
        <v>2661.2760284154365</v>
      </c>
      <c r="E160" s="11"/>
      <c r="F160" s="2" t="s">
        <v>32</v>
      </c>
      <c r="G160" s="15"/>
      <c r="H160" s="1">
        <f>H159/(H158*12)</f>
        <v>2883.2745071013383</v>
      </c>
      <c r="I160" s="11"/>
      <c r="J160" s="1">
        <f>J159/(J158*12)</f>
        <v>2743.621259520721</v>
      </c>
      <c r="K160" s="11"/>
      <c r="L160" s="1">
        <f>L159/(L158*12)</f>
        <v>3128.111231507849</v>
      </c>
      <c r="M160" s="11"/>
      <c r="N160" s="1">
        <f>N159/(N158*12)</f>
        <v>2128.862384056016</v>
      </c>
      <c r="O160" s="11"/>
      <c r="P160" s="1">
        <f>P159/(P158*12)</f>
        <v>3388.331437018244</v>
      </c>
      <c r="Q160" s="11"/>
      <c r="R160" s="1">
        <f>R159/(R158*12)</f>
        <v>2171.0897080850145</v>
      </c>
      <c r="S160" s="11"/>
      <c r="T160" s="1">
        <f>T159/(T158*12)</f>
        <v>2131.975706639444</v>
      </c>
      <c r="U160" s="11"/>
      <c r="V160" s="1">
        <f>V159/(V158*12)</f>
        <v>956.136945085804</v>
      </c>
      <c r="W160" s="11"/>
      <c r="X160" s="1">
        <f>X159/(X158*12)</f>
        <v>2034.925150558917</v>
      </c>
      <c r="Y160" s="11"/>
      <c r="Z160" s="1">
        <f>Z159/(Z158*12)</f>
        <v>2484.1966405034977</v>
      </c>
      <c r="AA160">
        <f>+F158+H158+J158+L158+N158+P158+R158+T158+V158+X158+Z158</f>
        <v>29362.665809594328</v>
      </c>
    </row>
    <row r="161" spans="1:27" ht="12.75">
      <c r="A161" s="1"/>
      <c r="AA161">
        <f>+F159+H159+J159+L159+N159+P159+R159+T159+V159+X159+Z159</f>
        <v>937705903.793363</v>
      </c>
    </row>
    <row r="162" ht="12.75">
      <c r="A162" s="1" t="s">
        <v>57</v>
      </c>
    </row>
    <row r="163" spans="1:26" ht="12.75">
      <c r="A163" s="1" t="s">
        <v>18</v>
      </c>
      <c r="C163" s="1">
        <f aca="true" t="shared" si="22" ref="C163:D165">+E163+G163+I163+K163+M163+O163+Q163+S163+U163+W163+Y163</f>
        <v>394</v>
      </c>
      <c r="D163" s="1">
        <f t="shared" si="22"/>
        <v>492.9058288810609</v>
      </c>
      <c r="E163" s="11">
        <v>1</v>
      </c>
      <c r="F163" s="1">
        <f>+F$225*E163</f>
        <v>1.8611111111111112</v>
      </c>
      <c r="G163" s="15">
        <v>31</v>
      </c>
      <c r="H163" s="1">
        <f>+H$225*G163</f>
        <v>48.61226083561109</v>
      </c>
      <c r="I163" s="11">
        <v>41</v>
      </c>
      <c r="J163" s="1">
        <f>+J$225*I163</f>
        <v>45.40360240160107</v>
      </c>
      <c r="K163" s="11">
        <v>104</v>
      </c>
      <c r="L163" s="1">
        <f>+L$225*K163</f>
        <v>142.71744044513997</v>
      </c>
      <c r="M163" s="11">
        <v>11</v>
      </c>
      <c r="N163" s="1">
        <f>+N$225*M163</f>
        <v>15.801003344481606</v>
      </c>
      <c r="O163" s="11">
        <v>35</v>
      </c>
      <c r="P163" s="1">
        <f>+P$225*O163</f>
        <v>40.45921544209216</v>
      </c>
      <c r="Q163" s="11">
        <v>43</v>
      </c>
      <c r="R163" s="1">
        <f>+R$225*Q163</f>
        <v>57.05927342256214</v>
      </c>
      <c r="S163" s="11">
        <v>19</v>
      </c>
      <c r="T163" s="1">
        <f>+T$225*S163</f>
        <v>20.74665515753129</v>
      </c>
      <c r="U163" s="11">
        <v>52</v>
      </c>
      <c r="V163" s="1">
        <f>+V$225*U163</f>
        <v>57.183098591549296</v>
      </c>
      <c r="W163" s="11">
        <v>26</v>
      </c>
      <c r="X163" s="1">
        <f>+X$225*W163</f>
        <v>29.29617486338798</v>
      </c>
      <c r="Y163" s="11">
        <v>31</v>
      </c>
      <c r="Z163" s="1">
        <f>+Z$225*Y163</f>
        <v>33.76599326599327</v>
      </c>
    </row>
    <row r="164" spans="1:26" ht="12.75">
      <c r="A164" s="1" t="s">
        <v>20</v>
      </c>
      <c r="C164" s="1">
        <f t="shared" si="22"/>
        <v>10658</v>
      </c>
      <c r="D164" s="1">
        <f t="shared" si="22"/>
        <v>11888.218776791378</v>
      </c>
      <c r="E164" s="11">
        <v>15</v>
      </c>
      <c r="F164" s="1">
        <f>+F$226*E164</f>
        <v>17.34259259259259</v>
      </c>
      <c r="G164" s="15">
        <v>774</v>
      </c>
      <c r="H164" s="1">
        <f>+H$226*G164</f>
        <v>999.7227111186326</v>
      </c>
      <c r="I164" s="11">
        <v>702</v>
      </c>
      <c r="J164" s="1">
        <f>+J$226*I164</f>
        <v>725.2163677130045</v>
      </c>
      <c r="K164" s="11">
        <v>1831</v>
      </c>
      <c r="L164" s="1">
        <f>+L$226*K164</f>
        <v>1963.963922345557</v>
      </c>
      <c r="M164" s="11">
        <v>132</v>
      </c>
      <c r="N164" s="1">
        <f>+N$226*M164</f>
        <v>150.7205304518664</v>
      </c>
      <c r="O164" s="11">
        <v>315</v>
      </c>
      <c r="P164" s="1">
        <f>+P$226*O164</f>
        <v>374.8045961381561</v>
      </c>
      <c r="Q164" s="11">
        <v>875</v>
      </c>
      <c r="R164" s="1">
        <f>+R$226*Q164</f>
        <v>939.3494291947162</v>
      </c>
      <c r="S164" s="11">
        <v>301</v>
      </c>
      <c r="T164" s="1">
        <f>+T$226*S164</f>
        <v>347.392007910095</v>
      </c>
      <c r="U164" s="11">
        <v>868</v>
      </c>
      <c r="V164" s="1">
        <f>+V$226*U164</f>
        <v>923.5679513655243</v>
      </c>
      <c r="W164" s="11">
        <v>150</v>
      </c>
      <c r="X164" s="1">
        <f>+X$226*W164</f>
        <v>168.10072477234715</v>
      </c>
      <c r="Y164" s="11">
        <v>4695</v>
      </c>
      <c r="Z164" s="1">
        <f>+Z$226*Y164</f>
        <v>5278.037943188886</v>
      </c>
    </row>
    <row r="165" spans="1:27" ht="12.75">
      <c r="A165" s="1" t="s">
        <v>21</v>
      </c>
      <c r="C165" s="1">
        <f t="shared" si="22"/>
        <v>397588115</v>
      </c>
      <c r="D165" s="1">
        <f t="shared" si="22"/>
        <v>443573601.5498408</v>
      </c>
      <c r="E165" s="11">
        <v>1890222</v>
      </c>
      <c r="F165" s="1">
        <f>+F$227*E165</f>
        <v>2150982.086526851</v>
      </c>
      <c r="G165" s="15">
        <v>30155476</v>
      </c>
      <c r="H165" s="1">
        <f>+H$227*G165</f>
        <v>37952325.099975735</v>
      </c>
      <c r="I165" s="11">
        <v>24808625</v>
      </c>
      <c r="J165" s="1">
        <f>+J$227*I165</f>
        <v>25667589.859228402</v>
      </c>
      <c r="K165" s="11">
        <v>74669686</v>
      </c>
      <c r="L165" s="1">
        <f>+L$227*K165</f>
        <v>82529126.53732939</v>
      </c>
      <c r="M165" s="11">
        <v>6564088</v>
      </c>
      <c r="N165" s="1">
        <f>+N$227*M165</f>
        <v>7341449.354532322</v>
      </c>
      <c r="O165" s="11">
        <v>11079788</v>
      </c>
      <c r="P165" s="1">
        <f>+P$227*O165</f>
        <v>12582318.85254285</v>
      </c>
      <c r="Q165" s="11">
        <v>47102219</v>
      </c>
      <c r="R165" s="1">
        <f>+R$227*Q165</f>
        <v>51028330.37921288</v>
      </c>
      <c r="S165" s="11">
        <v>6750057</v>
      </c>
      <c r="T165" s="1">
        <f>+T$227*S165</f>
        <v>7922771.622703839</v>
      </c>
      <c r="U165" s="11">
        <v>9993109</v>
      </c>
      <c r="V165" s="1">
        <f>+V$227*U165</f>
        <v>10662336.932376403</v>
      </c>
      <c r="W165" s="11">
        <v>3456806</v>
      </c>
      <c r="X165" s="1">
        <f>+X$227*W165</f>
        <v>3878314.936628797</v>
      </c>
      <c r="Y165" s="11">
        <v>181118039</v>
      </c>
      <c r="Z165" s="1">
        <f>+Z$227*Y165</f>
        <v>201858055.88878328</v>
      </c>
      <c r="AA165">
        <f>+F163+H163+J163+L163+N163+P163+R163+T163+V163+X163+Z163</f>
        <v>492.9058288810609</v>
      </c>
    </row>
    <row r="166" spans="1:27" ht="12.75">
      <c r="A166" s="1" t="s">
        <v>23</v>
      </c>
      <c r="C166" s="1"/>
      <c r="D166" s="1">
        <f>D165/(D164*12)</f>
        <v>3109.3360149111213</v>
      </c>
      <c r="E166" s="11"/>
      <c r="F166" s="2" t="s">
        <v>32</v>
      </c>
      <c r="G166" s="15"/>
      <c r="H166" s="1">
        <f>H165/(H164*12)</f>
        <v>3163.5709813898675</v>
      </c>
      <c r="I166" s="11"/>
      <c r="J166" s="1">
        <f>J165/(J164*12)</f>
        <v>2949.417466055919</v>
      </c>
      <c r="K166" s="11"/>
      <c r="L166" s="1">
        <f>L165/(L164*12)</f>
        <v>3501.8093424192957</v>
      </c>
      <c r="M166" s="11"/>
      <c r="N166" s="1">
        <f>N165/(N164*12)</f>
        <v>4059.0850123527475</v>
      </c>
      <c r="O166" s="11"/>
      <c r="P166" s="1">
        <f>P165/(P164*12)</f>
        <v>2797.528583824361</v>
      </c>
      <c r="Q166" s="11"/>
      <c r="R166" s="1">
        <f>R165/(R164*12)</f>
        <v>4526.921220977228</v>
      </c>
      <c r="S166" s="11"/>
      <c r="T166" s="1">
        <f>T165/(T164*12)</f>
        <v>1900.5358601385005</v>
      </c>
      <c r="U166" s="11"/>
      <c r="V166" s="1">
        <f>V165/(V164*12)</f>
        <v>962.0603187716906</v>
      </c>
      <c r="W166" s="11"/>
      <c r="X166" s="1">
        <f>X165/(X164*12)</f>
        <v>1922.6146218192798</v>
      </c>
      <c r="Y166" s="11"/>
      <c r="Z166" s="1">
        <f>Z165/(Z164*12)</f>
        <v>3187.075356119056</v>
      </c>
      <c r="AA166">
        <f>+F164+H164+J164+L164+N164+P164+R164+T164+V164+X164+Z164</f>
        <v>11888.218776791378</v>
      </c>
    </row>
    <row r="167" spans="1:27" ht="12.75">
      <c r="A167" s="1"/>
      <c r="AA167">
        <f>+F165+H165+J165+L165+N165+P165+R165+T165+V165+X165+Z165</f>
        <v>443573601.5498408</v>
      </c>
    </row>
    <row r="168" ht="12.75">
      <c r="A168" s="1" t="s">
        <v>70</v>
      </c>
    </row>
    <row r="169" spans="1:26" ht="12.75">
      <c r="A169" s="1" t="s">
        <v>18</v>
      </c>
      <c r="C169" s="1">
        <f aca="true" t="shared" si="23" ref="C169:D171">+E169+G169+I169+K169+M169+O169+Q169+S169+U169+W169+Y169</f>
        <v>284</v>
      </c>
      <c r="D169" s="1">
        <f t="shared" si="23"/>
        <v>359.14958842178163</v>
      </c>
      <c r="E169" s="11">
        <v>0</v>
      </c>
      <c r="F169" s="1">
        <f>+F$225*E169</f>
        <v>0</v>
      </c>
      <c r="G169" s="15">
        <v>5</v>
      </c>
      <c r="H169" s="1">
        <f>+H$225*G169</f>
        <v>7.840687231550175</v>
      </c>
      <c r="I169" s="11">
        <v>31</v>
      </c>
      <c r="J169" s="1">
        <f>+J$225*I169</f>
        <v>34.3295530353569</v>
      </c>
      <c r="K169" s="11">
        <v>99</v>
      </c>
      <c r="L169" s="1">
        <f>+L$225*K169</f>
        <v>135.85602503912364</v>
      </c>
      <c r="M169" s="11">
        <v>12</v>
      </c>
      <c r="N169" s="1">
        <f>+N$225*M169</f>
        <v>17.237458193979933</v>
      </c>
      <c r="O169" s="11">
        <v>43</v>
      </c>
      <c r="P169" s="1">
        <f>+P$225*O169</f>
        <v>49.707036114570364</v>
      </c>
      <c r="Q169" s="11">
        <v>47</v>
      </c>
      <c r="R169" s="1">
        <f>+R$225*Q169</f>
        <v>62.367112810707454</v>
      </c>
      <c r="S169" s="11">
        <v>7</v>
      </c>
      <c r="T169" s="1">
        <f>+T$225*S169</f>
        <v>7.643504531722054</v>
      </c>
      <c r="U169" s="11">
        <v>25</v>
      </c>
      <c r="V169" s="1">
        <f>+V$225*U169</f>
        <v>27.491874322860237</v>
      </c>
      <c r="W169" s="11">
        <v>9</v>
      </c>
      <c r="X169" s="1">
        <f>+X$225*W169</f>
        <v>10.140983606557377</v>
      </c>
      <c r="Y169" s="11">
        <v>6</v>
      </c>
      <c r="Z169" s="1">
        <f>+Z$225*Y169</f>
        <v>6.535353535353536</v>
      </c>
    </row>
    <row r="170" spans="1:26" ht="12.75">
      <c r="A170" s="1" t="s">
        <v>20</v>
      </c>
      <c r="C170" s="1">
        <f t="shared" si="23"/>
        <v>25250</v>
      </c>
      <c r="D170" s="1">
        <f t="shared" si="23"/>
        <v>27330.329719757476</v>
      </c>
      <c r="E170" s="11">
        <v>0</v>
      </c>
      <c r="F170" s="1">
        <f>+F$226*E170</f>
        <v>0</v>
      </c>
      <c r="G170" s="15">
        <v>73</v>
      </c>
      <c r="H170" s="1">
        <f>+H$226*G170</f>
        <v>94.28909290912168</v>
      </c>
      <c r="I170" s="11">
        <v>5890</v>
      </c>
      <c r="J170" s="1">
        <f>+J$226*I170</f>
        <v>6084.792600896862</v>
      </c>
      <c r="K170" s="11">
        <v>9865</v>
      </c>
      <c r="L170" s="1">
        <f>+L$226*K170</f>
        <v>10581.378533008694</v>
      </c>
      <c r="M170" s="11">
        <v>383</v>
      </c>
      <c r="N170" s="1">
        <f>+N$226*M170</f>
        <v>437.31790275049116</v>
      </c>
      <c r="O170" s="11">
        <v>3072</v>
      </c>
      <c r="P170" s="1">
        <f>+P$226*O170</f>
        <v>3655.2372042425895</v>
      </c>
      <c r="Q170" s="11">
        <v>3204</v>
      </c>
      <c r="R170" s="1">
        <f>+R$226*Q170</f>
        <v>3439.629224159852</v>
      </c>
      <c r="S170" s="11">
        <v>80</v>
      </c>
      <c r="T170" s="1">
        <f>+T$226*S170</f>
        <v>92.33010177012491</v>
      </c>
      <c r="U170" s="11">
        <v>1169</v>
      </c>
      <c r="V170" s="1">
        <f>+V$226*U170</f>
        <v>1243.83748288744</v>
      </c>
      <c r="W170" s="11">
        <v>141</v>
      </c>
      <c r="X170" s="1">
        <f>+X$226*W170</f>
        <v>158.01468128600632</v>
      </c>
      <c r="Y170" s="11">
        <v>1373</v>
      </c>
      <c r="Z170" s="1">
        <f>+Z$226*Y170</f>
        <v>1543.502895846292</v>
      </c>
    </row>
    <row r="171" spans="1:27" ht="12.75">
      <c r="A171" s="1" t="s">
        <v>21</v>
      </c>
      <c r="C171" s="1">
        <f t="shared" si="23"/>
        <v>1079195096</v>
      </c>
      <c r="D171" s="1">
        <f t="shared" si="23"/>
        <v>1174128372.5105205</v>
      </c>
      <c r="E171" s="11">
        <v>0</v>
      </c>
      <c r="F171" s="1">
        <f>+F$227*E171</f>
        <v>0</v>
      </c>
      <c r="G171" s="15">
        <v>2963330</v>
      </c>
      <c r="H171" s="1">
        <f>+H$227*G171</f>
        <v>3729513.788424732</v>
      </c>
      <c r="I171" s="11">
        <v>294841837</v>
      </c>
      <c r="J171" s="1">
        <f>+J$227*I171</f>
        <v>305050334.1260337</v>
      </c>
      <c r="K171" s="11">
        <v>466230757</v>
      </c>
      <c r="L171" s="1">
        <f>+L$227*K171</f>
        <v>515304391.9328638</v>
      </c>
      <c r="M171" s="11">
        <v>24793002</v>
      </c>
      <c r="N171" s="1">
        <f>+N$227*M171</f>
        <v>27729148.136011973</v>
      </c>
      <c r="O171" s="11">
        <v>108703669</v>
      </c>
      <c r="P171" s="1">
        <f>+P$227*O171</f>
        <v>123444981.42015693</v>
      </c>
      <c r="Q171" s="11">
        <v>89760499</v>
      </c>
      <c r="R171" s="1">
        <f>+R$227*Q171</f>
        <v>97242306.09974039</v>
      </c>
      <c r="S171" s="11">
        <v>1819381</v>
      </c>
      <c r="T171" s="1">
        <f>+T$227*S171</f>
        <v>2135469.397915682</v>
      </c>
      <c r="U171" s="11">
        <v>19732850</v>
      </c>
      <c r="V171" s="1">
        <f>+V$227*U171</f>
        <v>21054338.077973906</v>
      </c>
      <c r="W171" s="11">
        <v>4349196</v>
      </c>
      <c r="X171" s="1">
        <f>+X$227*W171</f>
        <v>4879519.362419013</v>
      </c>
      <c r="Y171" s="11">
        <v>66000575</v>
      </c>
      <c r="Z171" s="1">
        <f>+Z$227*Y171</f>
        <v>73558370.16898042</v>
      </c>
      <c r="AA171">
        <f>+F169+H169+J169+L169+N169+P169+R169+T169+V169+X169+Z169</f>
        <v>359.14958842178163</v>
      </c>
    </row>
    <row r="172" spans="1:27" ht="12.75">
      <c r="A172" s="1" t="s">
        <v>23</v>
      </c>
      <c r="C172" s="1"/>
      <c r="D172" s="1">
        <f>D171/(D170*12)</f>
        <v>3580.0530782404194</v>
      </c>
      <c r="E172" s="11"/>
      <c r="F172" s="1"/>
      <c r="G172" s="15"/>
      <c r="H172" s="1">
        <f>H171/(H170*12)</f>
        <v>3296.169324713001</v>
      </c>
      <c r="I172" s="11"/>
      <c r="J172" s="1">
        <f>J171/(J170*12)</f>
        <v>4177.769538672952</v>
      </c>
      <c r="K172" s="11"/>
      <c r="L172" s="1">
        <f>L171/(L170*12)</f>
        <v>4058.2644810516863</v>
      </c>
      <c r="M172" s="11"/>
      <c r="N172" s="1">
        <f>N171/(N170*12)</f>
        <v>5283.941796423675</v>
      </c>
      <c r="O172" s="11"/>
      <c r="P172" s="1">
        <f>P171/(P170*12)</f>
        <v>2814.340413550449</v>
      </c>
      <c r="Q172" s="11"/>
      <c r="R172" s="1">
        <f>R171/(R170*12)</f>
        <v>2355.929950644907</v>
      </c>
      <c r="S172" s="11"/>
      <c r="T172" s="2" t="s">
        <v>32</v>
      </c>
      <c r="U172" s="11"/>
      <c r="V172" s="1">
        <f>V171/(V170*12)</f>
        <v>1410.5767009782794</v>
      </c>
      <c r="W172" s="11"/>
      <c r="X172" s="1">
        <f>X171/(X170*12)</f>
        <v>2573.3470474108935</v>
      </c>
      <c r="Y172" s="11"/>
      <c r="Z172" s="1">
        <f>Z171/(Z170*12)</f>
        <v>3971.3979139555845</v>
      </c>
      <c r="AA172">
        <f>+F170+H170+J170+L170+N170+P170+R170+T170+V170+X170+Z170</f>
        <v>27330.329719757476</v>
      </c>
    </row>
    <row r="173" spans="1:27" ht="12.75">
      <c r="A173" s="1"/>
      <c r="AA173">
        <f>+F171+H171+J171+L171+N171+P171+R171+T171+V171+X171+Z171</f>
        <v>1174128372.5105205</v>
      </c>
    </row>
    <row r="174" ht="12.75">
      <c r="A174" s="1" t="s">
        <v>80</v>
      </c>
    </row>
    <row r="175" spans="1:26" ht="12.75">
      <c r="A175" s="1" t="s">
        <v>18</v>
      </c>
      <c r="C175" s="1">
        <f aca="true" t="shared" si="24" ref="C175:D177">+E175+G175+I175+K175+M175+O175+Q175+S175+U175+W175+Y175</f>
        <v>1554</v>
      </c>
      <c r="D175" s="1">
        <f t="shared" si="24"/>
        <v>1950.7595008496594</v>
      </c>
      <c r="E175" s="11">
        <v>2</v>
      </c>
      <c r="F175" s="1">
        <f>+F$225*E175</f>
        <v>3.7222222222222223</v>
      </c>
      <c r="G175" s="15">
        <v>146</v>
      </c>
      <c r="H175" s="1">
        <f>+H$225*G175</f>
        <v>228.94806716126513</v>
      </c>
      <c r="I175" s="11">
        <v>31</v>
      </c>
      <c r="J175" s="1">
        <f>+J$225*I175</f>
        <v>34.3295530353569</v>
      </c>
      <c r="K175" s="11">
        <v>263</v>
      </c>
      <c r="L175" s="1">
        <f>+L$225*K175</f>
        <v>360.9104503564597</v>
      </c>
      <c r="M175" s="11">
        <v>31</v>
      </c>
      <c r="N175" s="1">
        <f>+N$225*M175</f>
        <v>44.530100334448164</v>
      </c>
      <c r="O175" s="11">
        <v>263</v>
      </c>
      <c r="P175" s="1">
        <f>+P$225*O175</f>
        <v>304.0221046077211</v>
      </c>
      <c r="Q175" s="11">
        <v>325</v>
      </c>
      <c r="R175" s="1">
        <f>+R$225*Q175</f>
        <v>431.2619502868069</v>
      </c>
      <c r="S175" s="11">
        <v>252</v>
      </c>
      <c r="T175" s="1">
        <f>+T$225*S175</f>
        <v>275.16616314199393</v>
      </c>
      <c r="U175" s="11">
        <v>111</v>
      </c>
      <c r="V175" s="1">
        <f>+V$225*U175</f>
        <v>122.06392199349946</v>
      </c>
      <c r="W175" s="11">
        <v>112</v>
      </c>
      <c r="X175" s="1">
        <f>+X$225*W175</f>
        <v>126.19890710382515</v>
      </c>
      <c r="Y175" s="11">
        <v>18</v>
      </c>
      <c r="Z175" s="1">
        <f>+Z$225*Y175</f>
        <v>19.60606060606061</v>
      </c>
    </row>
    <row r="176" spans="1:26" ht="12.75">
      <c r="A176" s="1" t="s">
        <v>20</v>
      </c>
      <c r="C176" s="1">
        <f t="shared" si="24"/>
        <v>15900</v>
      </c>
      <c r="D176" s="1">
        <f t="shared" si="24"/>
        <v>17830.7358972688</v>
      </c>
      <c r="E176" s="11">
        <v>6</v>
      </c>
      <c r="F176" s="1">
        <f>+F$226*E176</f>
        <v>6.937037037037037</v>
      </c>
      <c r="G176" s="15">
        <v>750</v>
      </c>
      <c r="H176" s="1">
        <f>+H$226*G176</f>
        <v>968.7235572854967</v>
      </c>
      <c r="I176" s="11">
        <v>491</v>
      </c>
      <c r="J176" s="1">
        <f>+J$226*I176</f>
        <v>507.2382286995516</v>
      </c>
      <c r="K176" s="11">
        <v>2701</v>
      </c>
      <c r="L176" s="1">
        <f>+L$226*K176</f>
        <v>2897.141755464418</v>
      </c>
      <c r="M176" s="11">
        <v>216</v>
      </c>
      <c r="N176" s="1">
        <f>+N$226*M176</f>
        <v>246.63359528487229</v>
      </c>
      <c r="O176" s="11">
        <v>1391</v>
      </c>
      <c r="P176" s="1">
        <f>+P$226*O176</f>
        <v>1655.0895023116673</v>
      </c>
      <c r="Q176" s="11">
        <v>2284</v>
      </c>
      <c r="R176" s="1">
        <f>+R$226*Q176</f>
        <v>2451.9703957494075</v>
      </c>
      <c r="S176" s="11">
        <v>4372</v>
      </c>
      <c r="T176" s="1">
        <f>+T$226*S176</f>
        <v>5045.840061737327</v>
      </c>
      <c r="U176" s="11">
        <v>1551</v>
      </c>
      <c r="V176" s="1">
        <f>+V$226*U176</f>
        <v>1650.2925029584426</v>
      </c>
      <c r="W176" s="11">
        <v>750</v>
      </c>
      <c r="X176" s="1">
        <f>+X$226*W176</f>
        <v>840.5036238617357</v>
      </c>
      <c r="Y176" s="11">
        <v>1388</v>
      </c>
      <c r="Z176" s="1">
        <f>+Z$226*Y176</f>
        <v>1560.3656368788443</v>
      </c>
    </row>
    <row r="177" spans="1:27" ht="12.75">
      <c r="A177" s="1" t="s">
        <v>21</v>
      </c>
      <c r="C177" s="1">
        <f t="shared" si="24"/>
        <v>447317634</v>
      </c>
      <c r="D177" s="1">
        <f t="shared" si="24"/>
        <v>507974944.82444435</v>
      </c>
      <c r="E177" s="11">
        <v>277610</v>
      </c>
      <c r="F177" s="1">
        <f>+F$227*E177</f>
        <v>315906.8813296635</v>
      </c>
      <c r="G177" s="15">
        <v>26812836</v>
      </c>
      <c r="H177" s="1">
        <f>+H$227*G177</f>
        <v>33745428.814465836</v>
      </c>
      <c r="I177" s="11">
        <v>13787725</v>
      </c>
      <c r="J177" s="1">
        <f>+J$227*I177</f>
        <v>14265106.203662232</v>
      </c>
      <c r="K177" s="11">
        <v>52670191</v>
      </c>
      <c r="L177" s="1">
        <f>+L$227*K177</f>
        <v>58214050.31466595</v>
      </c>
      <c r="M177" s="11">
        <v>5732477</v>
      </c>
      <c r="N177" s="1">
        <f>+N$227*M177</f>
        <v>6411353.652102376</v>
      </c>
      <c r="O177" s="11">
        <v>54074307</v>
      </c>
      <c r="P177" s="1">
        <f>+P$227*O177</f>
        <v>61407327.685718335</v>
      </c>
      <c r="Q177" s="11">
        <v>69741403</v>
      </c>
      <c r="R177" s="1">
        <f>+R$227*Q177</f>
        <v>75554558.34031573</v>
      </c>
      <c r="S177" s="11">
        <v>150515784</v>
      </c>
      <c r="T177" s="1">
        <f>+T$227*S177</f>
        <v>176665498.12012264</v>
      </c>
      <c r="U177" s="11">
        <v>18018835</v>
      </c>
      <c r="V177" s="1">
        <f>+V$227*U177</f>
        <v>19225537.307648357</v>
      </c>
      <c r="W177" s="11">
        <f>14406075+4320</f>
        <v>14410395</v>
      </c>
      <c r="X177" s="1">
        <f>+X$227*W177</f>
        <v>16167540.258614725</v>
      </c>
      <c r="Y177" s="11">
        <v>41276071</v>
      </c>
      <c r="Z177" s="1">
        <f>+Z$227*Y177</f>
        <v>46002637.24579851</v>
      </c>
      <c r="AA177">
        <f>+F175+H175+J175+L175+N175+P175+R175+T175+V175+X175+Z175</f>
        <v>1950.7595008496594</v>
      </c>
    </row>
    <row r="178" spans="1:27" ht="12.75">
      <c r="A178" s="1" t="s">
        <v>23</v>
      </c>
      <c r="C178" s="1"/>
      <c r="D178" s="1">
        <f>D177/(D176*12)</f>
        <v>2374.060478823034</v>
      </c>
      <c r="E178" s="11"/>
      <c r="F178" s="1">
        <f>F177/(F176*12)</f>
        <v>3794.930501824575</v>
      </c>
      <c r="G178" s="15"/>
      <c r="H178" s="1">
        <f>H177/(H176*12)</f>
        <v>2902.9118232162295</v>
      </c>
      <c r="I178" s="11"/>
      <c r="J178" s="1">
        <f>J177/(J176*12)</f>
        <v>2343.5908081157545</v>
      </c>
      <c r="K178" s="11"/>
      <c r="L178" s="1">
        <f>L177/(L176*12)</f>
        <v>1674.4678959548676</v>
      </c>
      <c r="M178" s="11"/>
      <c r="N178" s="1">
        <f>N177/(N176*12)</f>
        <v>2166.2882965778276</v>
      </c>
      <c r="O178" s="11"/>
      <c r="P178" s="1">
        <f>P177/(P176*12)</f>
        <v>3091.843250770355</v>
      </c>
      <c r="Q178" s="11"/>
      <c r="R178" s="1">
        <f>R177/(R176*12)</f>
        <v>2567.817786846472</v>
      </c>
      <c r="S178" s="11"/>
      <c r="T178" s="1">
        <f>T177/(T176*12)</f>
        <v>2917.6756819903235</v>
      </c>
      <c r="U178" s="11"/>
      <c r="V178" s="1">
        <f>V177/(V176*12)</f>
        <v>970.8146320113538</v>
      </c>
      <c r="W178" s="11"/>
      <c r="X178" s="1">
        <f>X177/(X176*12)</f>
        <v>1602.9615855325085</v>
      </c>
      <c r="Y178" s="11"/>
      <c r="Z178" s="1">
        <f>Z177/(Z176*12)</f>
        <v>2456.829997541276</v>
      </c>
      <c r="AA178">
        <f>+F176+H176+J176+L176+N176+P176+R176+T176+V176+X176+Z176</f>
        <v>17830.7358972688</v>
      </c>
    </row>
    <row r="179" spans="1:26" ht="12.75">
      <c r="A179" s="1"/>
      <c r="C179" s="1"/>
      <c r="D179" s="1"/>
      <c r="E179" s="11"/>
      <c r="F179" s="1"/>
      <c r="G179" s="15"/>
      <c r="H179" s="1"/>
      <c r="I179" s="11"/>
      <c r="J179" s="1"/>
      <c r="K179" s="11"/>
      <c r="L179" s="1"/>
      <c r="M179" s="11"/>
      <c r="N179" s="1"/>
      <c r="O179" s="11"/>
      <c r="P179" s="1"/>
      <c r="Q179" s="11"/>
      <c r="R179" s="1"/>
      <c r="S179" s="11"/>
      <c r="T179" s="1"/>
      <c r="U179" s="11"/>
      <c r="V179" s="1"/>
      <c r="W179" s="11"/>
      <c r="X179" s="1"/>
      <c r="Y179" s="11"/>
      <c r="Z179" s="1"/>
    </row>
    <row r="180" spans="1:26" ht="12.75">
      <c r="A180" s="1"/>
      <c r="C180" s="1"/>
      <c r="D180" s="1"/>
      <c r="E180" s="11"/>
      <c r="F180" s="1"/>
      <c r="G180" s="15"/>
      <c r="H180" s="1"/>
      <c r="I180" s="11"/>
      <c r="J180" s="1"/>
      <c r="K180" s="11"/>
      <c r="L180" s="1"/>
      <c r="M180" s="11"/>
      <c r="N180" s="1"/>
      <c r="O180" s="11"/>
      <c r="P180" s="1"/>
      <c r="Q180" s="11"/>
      <c r="R180" s="1"/>
      <c r="S180" s="11"/>
      <c r="T180" s="1"/>
      <c r="U180" s="11"/>
      <c r="V180" s="1"/>
      <c r="W180" s="11"/>
      <c r="X180" s="1"/>
      <c r="Y180" s="11"/>
      <c r="Z180" s="1"/>
    </row>
    <row r="181" spans="12:26" ht="12.75">
      <c r="L181" s="1" t="s">
        <v>196</v>
      </c>
      <c r="R181" s="1"/>
      <c r="Z181" s="1"/>
    </row>
    <row r="182" spans="14:26" ht="12.75">
      <c r="N182" s="1" t="s">
        <v>189</v>
      </c>
      <c r="Z182" s="1"/>
    </row>
    <row r="183" spans="14:26" ht="12.75">
      <c r="N183" s="1"/>
      <c r="Z183" s="1"/>
    </row>
    <row r="184" spans="1:26" ht="12.75">
      <c r="A184" s="1"/>
      <c r="B184" s="1"/>
      <c r="C184" s="1"/>
      <c r="D184" s="1"/>
      <c r="E184" s="11"/>
      <c r="F184" s="1"/>
      <c r="G184" s="11"/>
      <c r="H184" s="1"/>
      <c r="I184" s="11"/>
      <c r="J184" s="1"/>
      <c r="K184" s="11"/>
      <c r="L184" s="1"/>
      <c r="M184" s="11"/>
      <c r="N184" s="1"/>
      <c r="O184" s="11"/>
      <c r="P184" s="1"/>
      <c r="Q184" s="11"/>
      <c r="R184" s="1"/>
      <c r="S184" s="11"/>
      <c r="T184" s="1"/>
      <c r="U184" s="11"/>
      <c r="V184" s="1"/>
      <c r="W184" s="11"/>
      <c r="X184" s="1"/>
      <c r="Y184" s="11"/>
      <c r="Z184" s="1"/>
    </row>
    <row r="185" spans="1:27" ht="12.75">
      <c r="A185" s="1"/>
      <c r="B185" s="1"/>
      <c r="C185" s="1"/>
      <c r="D185" s="2"/>
      <c r="E185" s="11"/>
      <c r="F185" s="1"/>
      <c r="G185" s="11"/>
      <c r="H185" s="1"/>
      <c r="I185" s="11"/>
      <c r="J185" s="1"/>
      <c r="K185" s="11"/>
      <c r="L185" s="1" t="s">
        <v>124</v>
      </c>
      <c r="M185" s="11"/>
      <c r="N185" s="1"/>
      <c r="O185" s="11"/>
      <c r="P185" s="1"/>
      <c r="Q185" s="11"/>
      <c r="R185" s="1"/>
      <c r="S185" s="11"/>
      <c r="T185" s="1"/>
      <c r="U185" s="11"/>
      <c r="V185" s="1"/>
      <c r="W185" s="11"/>
      <c r="X185" s="1"/>
      <c r="Y185" s="11"/>
      <c r="Z185" s="1"/>
      <c r="AA185">
        <f>+F177+H177+J177+L177+N177+P177+R177+T177+V177+X177+Z177</f>
        <v>507974944.82444435</v>
      </c>
    </row>
    <row r="186" spans="1:26" ht="12.75">
      <c r="A186" s="1"/>
      <c r="B186" s="1"/>
      <c r="C186" s="1"/>
      <c r="D186" s="1"/>
      <c r="E186" s="11"/>
      <c r="F186" s="1"/>
      <c r="G186" s="11"/>
      <c r="H186" s="1"/>
      <c r="I186" s="11"/>
      <c r="J186" s="1"/>
      <c r="K186" s="11"/>
      <c r="L186" s="1" t="s">
        <v>187</v>
      </c>
      <c r="M186" s="11"/>
      <c r="N186" s="1"/>
      <c r="O186" s="11"/>
      <c r="P186" s="2" t="s">
        <v>128</v>
      </c>
      <c r="Q186" s="12"/>
      <c r="R186" s="1" t="s">
        <v>129</v>
      </c>
      <c r="S186" s="11"/>
      <c r="T186" s="2" t="s">
        <v>131</v>
      </c>
      <c r="U186" s="12"/>
      <c r="V186" s="2" t="s">
        <v>133</v>
      </c>
      <c r="W186" s="12"/>
      <c r="X186" s="2" t="s">
        <v>140</v>
      </c>
      <c r="Y186" s="12"/>
      <c r="Z186" s="1"/>
    </row>
    <row r="187" spans="1:26" ht="12.75">
      <c r="A187" s="1" t="s">
        <v>185</v>
      </c>
      <c r="B187" s="1"/>
      <c r="C187" s="1"/>
      <c r="D187" s="2" t="s">
        <v>184</v>
      </c>
      <c r="E187" s="12" t="s">
        <v>144</v>
      </c>
      <c r="F187" s="2" t="s">
        <v>7</v>
      </c>
      <c r="G187" s="11" t="s">
        <v>145</v>
      </c>
      <c r="H187" s="1" t="s">
        <v>8</v>
      </c>
      <c r="I187" s="11" t="s">
        <v>146</v>
      </c>
      <c r="J187" s="2" t="s">
        <v>9</v>
      </c>
      <c r="K187" s="11" t="s">
        <v>147</v>
      </c>
      <c r="L187" s="1" t="s">
        <v>125</v>
      </c>
      <c r="M187" s="11" t="s">
        <v>148</v>
      </c>
      <c r="N187" s="2" t="s">
        <v>126</v>
      </c>
      <c r="O187" s="12" t="s">
        <v>149</v>
      </c>
      <c r="P187" s="2" t="s">
        <v>127</v>
      </c>
      <c r="Q187" s="12" t="s">
        <v>150</v>
      </c>
      <c r="R187" s="1" t="s">
        <v>130</v>
      </c>
      <c r="S187" s="11" t="s">
        <v>151</v>
      </c>
      <c r="T187" s="2" t="s">
        <v>132</v>
      </c>
      <c r="U187" s="12" t="s">
        <v>152</v>
      </c>
      <c r="V187" s="2" t="s">
        <v>134</v>
      </c>
      <c r="W187" s="12" t="s">
        <v>153</v>
      </c>
      <c r="X187" s="2" t="s">
        <v>141</v>
      </c>
      <c r="Y187" s="12" t="s">
        <v>154</v>
      </c>
      <c r="Z187" s="2" t="s">
        <v>94</v>
      </c>
    </row>
    <row r="188" spans="1:26" ht="12.75">
      <c r="A188" s="1"/>
      <c r="B188" s="1"/>
      <c r="C188" s="1"/>
      <c r="D188" s="2"/>
      <c r="E188" s="12"/>
      <c r="F188" s="2"/>
      <c r="G188" s="11"/>
      <c r="H188" s="1"/>
      <c r="I188" s="11"/>
      <c r="J188" s="2"/>
      <c r="K188" s="11"/>
      <c r="L188" s="1"/>
      <c r="M188" s="11"/>
      <c r="N188" s="2"/>
      <c r="O188" s="12"/>
      <c r="P188" s="2"/>
      <c r="Q188" s="12"/>
      <c r="R188" s="1"/>
      <c r="S188" s="11"/>
      <c r="T188" s="2"/>
      <c r="U188" s="12"/>
      <c r="V188" s="2"/>
      <c r="W188" s="12"/>
      <c r="X188" s="2"/>
      <c r="Y188" s="12"/>
      <c r="Z188" s="2"/>
    </row>
    <row r="189" ht="12.75">
      <c r="A189" s="1" t="s">
        <v>50</v>
      </c>
    </row>
    <row r="190" spans="1:27" ht="12.75">
      <c r="A190" s="1" t="s">
        <v>18</v>
      </c>
      <c r="C190" s="1">
        <f aca="true" t="shared" si="25" ref="C190:D192">+E190+G190+I190+K190+M190+O190+Q190+S190+U190+W190+Y190</f>
        <v>1887</v>
      </c>
      <c r="D190" s="1">
        <f t="shared" si="25"/>
        <v>2399.4828646163032</v>
      </c>
      <c r="E190" s="11">
        <v>2</v>
      </c>
      <c r="F190" s="1">
        <f>+F$225*E190</f>
        <v>3.7222222222222223</v>
      </c>
      <c r="G190" s="15">
        <v>215</v>
      </c>
      <c r="H190" s="1">
        <f>+H$225*G190</f>
        <v>337.14955095665755</v>
      </c>
      <c r="I190" s="11">
        <v>203</v>
      </c>
      <c r="J190" s="1">
        <f>+J$225*I190</f>
        <v>224.8032021347565</v>
      </c>
      <c r="K190" s="11">
        <v>550</v>
      </c>
      <c r="L190" s="1">
        <f>+L$225*K190</f>
        <v>754.7556946617979</v>
      </c>
      <c r="M190" s="11">
        <v>35</v>
      </c>
      <c r="N190" s="1">
        <f>+N$225*M190</f>
        <v>50.27591973244147</v>
      </c>
      <c r="O190" s="11">
        <v>142</v>
      </c>
      <c r="P190" s="1">
        <f>+P$225*O190</f>
        <v>164.14881693648817</v>
      </c>
      <c r="Q190" s="11">
        <v>212</v>
      </c>
      <c r="R190" s="1">
        <f>+R$225*Q190</f>
        <v>281.31548757170174</v>
      </c>
      <c r="S190" s="11">
        <v>151</v>
      </c>
      <c r="T190" s="1">
        <f>+T$225*S190</f>
        <v>164.8813120414329</v>
      </c>
      <c r="U190" s="11">
        <v>160</v>
      </c>
      <c r="V190" s="1">
        <f>+V$225*U190</f>
        <v>175.94799566630553</v>
      </c>
      <c r="W190" s="11">
        <v>163</v>
      </c>
      <c r="X190" s="1">
        <f>+X$225*W190</f>
        <v>183.66448087431695</v>
      </c>
      <c r="Y190" s="11">
        <v>54</v>
      </c>
      <c r="Z190" s="1">
        <f>+Z$225*Y190</f>
        <v>58.81818181818182</v>
      </c>
      <c r="AA190">
        <f>+F190+H190+J190+L190+N190+P190+R190+T190+V190+X190+Z190</f>
        <v>2399.4828646163032</v>
      </c>
    </row>
    <row r="191" spans="1:27" ht="12.75">
      <c r="A191" s="1" t="s">
        <v>20</v>
      </c>
      <c r="C191" s="1">
        <f t="shared" si="25"/>
        <v>46905</v>
      </c>
      <c r="D191" s="1">
        <f t="shared" si="25"/>
        <v>51719.048371972276</v>
      </c>
      <c r="E191" s="11">
        <v>59</v>
      </c>
      <c r="F191" s="1">
        <f>+F$226*E191</f>
        <v>68.2141975308642</v>
      </c>
      <c r="G191" s="15">
        <v>2123</v>
      </c>
      <c r="H191" s="1">
        <f>+H$226*G191</f>
        <v>2742.1334828228128</v>
      </c>
      <c r="I191" s="11">
        <v>6668</v>
      </c>
      <c r="J191" s="1">
        <f>+J$226*I191</f>
        <v>6888.522421524664</v>
      </c>
      <c r="K191" s="11">
        <v>15002</v>
      </c>
      <c r="L191" s="1">
        <f>+L$226*K191</f>
        <v>16091.418221205922</v>
      </c>
      <c r="M191" s="11">
        <v>1974</v>
      </c>
      <c r="N191" s="1">
        <f>+N$226*M191</f>
        <v>2253.9570235756382</v>
      </c>
      <c r="O191" s="11">
        <v>4607</v>
      </c>
      <c r="P191" s="1">
        <f>+P$226*O191</f>
        <v>5481.6659505031275</v>
      </c>
      <c r="Q191" s="11">
        <v>4370</v>
      </c>
      <c r="R191" s="1">
        <f>+R$226*Q191</f>
        <v>4691.379434949611</v>
      </c>
      <c r="S191" s="11">
        <v>3148</v>
      </c>
      <c r="T191" s="1">
        <f>+T$226*S191</f>
        <v>3633.1895046544155</v>
      </c>
      <c r="U191" s="11">
        <v>3177</v>
      </c>
      <c r="V191" s="1">
        <f>+V$226*U191</f>
        <v>3380.386384203077</v>
      </c>
      <c r="W191" s="11">
        <v>1772</v>
      </c>
      <c r="X191" s="1">
        <f>+X$226*W191</f>
        <v>1985.829895310661</v>
      </c>
      <c r="Y191" s="11">
        <v>4005</v>
      </c>
      <c r="Z191" s="1">
        <f>+Z$226*Y191</f>
        <v>4502.351855691478</v>
      </c>
      <c r="AA191">
        <f>+F191+H191+J191+L191+N191+P191+R191+T191+V191+X191+Z191</f>
        <v>51719.048371972276</v>
      </c>
    </row>
    <row r="192" spans="1:27" ht="12.75">
      <c r="A192" s="1" t="s">
        <v>21</v>
      </c>
      <c r="C192" s="1">
        <f t="shared" si="25"/>
        <v>1515058760</v>
      </c>
      <c r="D192" s="1">
        <f t="shared" si="25"/>
        <v>1677033108.4654489</v>
      </c>
      <c r="E192" s="11">
        <v>3394710</v>
      </c>
      <c r="F192" s="1">
        <f>+F$227*E192</f>
        <v>3863017.3593120635</v>
      </c>
      <c r="G192" s="15">
        <v>73104326</v>
      </c>
      <c r="H192" s="1">
        <f>+H$227*G192</f>
        <v>92005815.01570755</v>
      </c>
      <c r="I192" s="11">
        <v>285413661</v>
      </c>
      <c r="J192" s="1">
        <f>+J$227*I192</f>
        <v>295295720.37018794</v>
      </c>
      <c r="K192" s="11">
        <v>457108132</v>
      </c>
      <c r="L192" s="1">
        <f>+L$227*K192</f>
        <v>505221554.9302064</v>
      </c>
      <c r="M192" s="11">
        <v>80179373</v>
      </c>
      <c r="N192" s="1">
        <f>+N$227*M192</f>
        <v>89674728.02888326</v>
      </c>
      <c r="O192" s="11">
        <v>167862794</v>
      </c>
      <c r="P192" s="1">
        <f>+P$227*O192</f>
        <v>190626679.64285207</v>
      </c>
      <c r="Q192" s="11">
        <v>126577242</v>
      </c>
      <c r="R192" s="1">
        <f>+R$227*Q192</f>
        <v>137127835.17196038</v>
      </c>
      <c r="S192" s="11">
        <v>105054742</v>
      </c>
      <c r="T192" s="1">
        <f>+T$227*S192</f>
        <v>123306325.96851748</v>
      </c>
      <c r="U192" s="11">
        <v>34617098</v>
      </c>
      <c r="V192" s="1">
        <f>+V$227*U192</f>
        <v>36935368.4120821</v>
      </c>
      <c r="W192" s="11">
        <v>56213271</v>
      </c>
      <c r="X192" s="1">
        <f>+X$227*W192</f>
        <v>63067689.81425697</v>
      </c>
      <c r="Y192" s="11">
        <v>125533411</v>
      </c>
      <c r="Z192" s="1">
        <f>+Z$227*Y192</f>
        <v>139908373.7514826</v>
      </c>
      <c r="AA192">
        <f>+F192+H192+J192+L192+N192+P192+R192+T192+V192+X192+Z192</f>
        <v>1677033108.4654489</v>
      </c>
    </row>
    <row r="193" spans="1:26" ht="12.75">
      <c r="A193" s="1" t="s">
        <v>23</v>
      </c>
      <c r="C193" s="1"/>
      <c r="D193" s="1">
        <f>D192/(D191*12)</f>
        <v>2702.1525615409932</v>
      </c>
      <c r="E193" s="11"/>
      <c r="F193" s="1">
        <f>F192/(F191*12)</f>
        <v>4719.224515253591</v>
      </c>
      <c r="G193" s="15"/>
      <c r="H193" s="1">
        <f>H192/(H191*12)</f>
        <v>2796.053255371153</v>
      </c>
      <c r="I193" s="11"/>
      <c r="J193" s="1">
        <f>J192/(J191*12)</f>
        <v>3572.3156856719756</v>
      </c>
      <c r="K193" s="11"/>
      <c r="L193" s="1">
        <f>L192/(L191*12)</f>
        <v>2616.413026211724</v>
      </c>
      <c r="M193" s="11"/>
      <c r="N193" s="1">
        <f>N192/(N191*12)</f>
        <v>3315.4554076421873</v>
      </c>
      <c r="O193" s="11"/>
      <c r="P193" s="1">
        <f>P192/(P191*12)</f>
        <v>2897.943212947207</v>
      </c>
      <c r="Q193" s="11"/>
      <c r="R193" s="1">
        <f>R192/(R191*12)</f>
        <v>2435.812271446789</v>
      </c>
      <c r="S193" s="11"/>
      <c r="T193" s="1">
        <f>T192/(T191*12)</f>
        <v>2828.2387007006723</v>
      </c>
      <c r="U193" s="11"/>
      <c r="V193" s="1">
        <f>V192/(V191*12)</f>
        <v>910.5312286361997</v>
      </c>
      <c r="W193" s="11"/>
      <c r="X193" s="1">
        <f>X192/(X191*12)</f>
        <v>2646.5715065854424</v>
      </c>
      <c r="Y193" s="11"/>
      <c r="Z193" s="1">
        <f>Z192/(Z191*12)</f>
        <v>2589.5424257476816</v>
      </c>
    </row>
    <row r="194" spans="1:26" ht="12.75">
      <c r="A194" s="1"/>
      <c r="C194" s="1"/>
      <c r="D194" s="1"/>
      <c r="E194" s="11"/>
      <c r="F194" s="1"/>
      <c r="G194" s="15"/>
      <c r="H194" s="1"/>
      <c r="I194" s="11"/>
      <c r="J194" s="1"/>
      <c r="K194" s="11"/>
      <c r="L194" s="1"/>
      <c r="M194" s="11"/>
      <c r="N194" s="1"/>
      <c r="O194" s="11"/>
      <c r="P194" s="1"/>
      <c r="Q194" s="11"/>
      <c r="R194" s="1"/>
      <c r="S194" s="11"/>
      <c r="T194" s="1"/>
      <c r="U194" s="11"/>
      <c r="V194" s="1"/>
      <c r="W194" s="11"/>
      <c r="X194" s="1"/>
      <c r="Y194" s="11"/>
      <c r="Z194" s="1"/>
    </row>
    <row r="195" ht="12.75">
      <c r="A195" s="1" t="s">
        <v>159</v>
      </c>
    </row>
    <row r="196" spans="1:27" ht="12.75">
      <c r="A196" s="1" t="s">
        <v>18</v>
      </c>
      <c r="C196" s="1">
        <f aca="true" t="shared" si="26" ref="C196:D198">+E196+G196+I196+K196+M196+O196+Q196+S196+U196+W196+Y196</f>
        <v>84</v>
      </c>
      <c r="D196" s="1">
        <f t="shared" si="26"/>
        <v>119.24748953538287</v>
      </c>
      <c r="E196" s="11">
        <v>0</v>
      </c>
      <c r="F196" s="1">
        <f>+F$225*E196</f>
        <v>0</v>
      </c>
      <c r="G196" s="15">
        <v>44</v>
      </c>
      <c r="H196" s="1">
        <f>+H$225*G196</f>
        <v>68.99804763764155</v>
      </c>
      <c r="I196" s="11">
        <v>3</v>
      </c>
      <c r="J196" s="1">
        <f>+J$225*I196</f>
        <v>3.322214809873249</v>
      </c>
      <c r="K196" s="11">
        <v>8</v>
      </c>
      <c r="L196" s="1">
        <f>+L$225*K196</f>
        <v>10.978264649626151</v>
      </c>
      <c r="M196" s="11">
        <v>2</v>
      </c>
      <c r="N196" s="1">
        <f>+N$225*M196</f>
        <v>2.8729096989966556</v>
      </c>
      <c r="O196" s="11">
        <v>7</v>
      </c>
      <c r="P196" s="1">
        <f>+P$225*O196</f>
        <v>8.09184308841843</v>
      </c>
      <c r="Q196" s="11">
        <v>13</v>
      </c>
      <c r="R196" s="1">
        <f>+R$225*Q196</f>
        <v>17.250478011472275</v>
      </c>
      <c r="S196" s="11">
        <v>1</v>
      </c>
      <c r="T196" s="1">
        <f>+T$225*S196</f>
        <v>1.0919292188174363</v>
      </c>
      <c r="U196" s="11">
        <v>3</v>
      </c>
      <c r="V196" s="1">
        <f>+V$225*U196</f>
        <v>3.2990249187432283</v>
      </c>
      <c r="W196" s="11">
        <v>2</v>
      </c>
      <c r="X196" s="1">
        <f>+X$225*W196</f>
        <v>2.253551912568306</v>
      </c>
      <c r="Y196" s="11">
        <v>1</v>
      </c>
      <c r="Z196" s="1">
        <f>+Z$225*Y196</f>
        <v>1.0892255892255893</v>
      </c>
      <c r="AA196">
        <f>+F196+H196+J196+L196+N196+P196+R196+T196+V196+X196+Z196</f>
        <v>119.24748953538287</v>
      </c>
    </row>
    <row r="197" spans="1:27" ht="12.75">
      <c r="A197" s="1" t="s">
        <v>20</v>
      </c>
      <c r="C197" s="1">
        <f t="shared" si="26"/>
        <v>583</v>
      </c>
      <c r="D197" s="1">
        <f t="shared" si="26"/>
        <v>694.5921344051917</v>
      </c>
      <c r="E197" s="11">
        <v>0</v>
      </c>
      <c r="F197" s="1">
        <f>+F$226*E197</f>
        <v>0</v>
      </c>
      <c r="G197" s="15">
        <v>283</v>
      </c>
      <c r="H197" s="1">
        <f>+H$226*G197</f>
        <v>365.53168894906077</v>
      </c>
      <c r="I197" s="11">
        <v>49</v>
      </c>
      <c r="J197" s="1">
        <f>+J$226*I197</f>
        <v>50.62051569506727</v>
      </c>
      <c r="K197" s="11">
        <v>34</v>
      </c>
      <c r="L197" s="1">
        <f>+L$226*K197</f>
        <v>36.469018765564684</v>
      </c>
      <c r="M197" s="11">
        <v>98</v>
      </c>
      <c r="N197" s="1">
        <f>+N$226*M197</f>
        <v>111.89857563850687</v>
      </c>
      <c r="O197" s="11">
        <v>6</v>
      </c>
      <c r="P197" s="1">
        <f>+P$226*O197</f>
        <v>7.139135164536308</v>
      </c>
      <c r="Q197" s="11">
        <v>48</v>
      </c>
      <c r="R197" s="1">
        <f>+R$226*Q197</f>
        <v>51.53002583011015</v>
      </c>
      <c r="S197" s="11">
        <v>1</v>
      </c>
      <c r="T197" s="1">
        <f>+T$226*S197</f>
        <v>1.1541262721265615</v>
      </c>
      <c r="U197" s="11">
        <v>28</v>
      </c>
      <c r="V197" s="1">
        <f>+V$226*U197</f>
        <v>29.792514560178205</v>
      </c>
      <c r="W197" s="11">
        <v>4</v>
      </c>
      <c r="X197" s="1">
        <f>+X$226*W197</f>
        <v>4.482685993929257</v>
      </c>
      <c r="Y197" s="11">
        <v>32</v>
      </c>
      <c r="Z197" s="1">
        <f>+Z$226*Y197</f>
        <v>35.973847536111684</v>
      </c>
      <c r="AA197">
        <f>+F197+H197+J197+L197+N197+P197+R197+T197+V197+X197+Z197</f>
        <v>694.5921344051917</v>
      </c>
    </row>
    <row r="198" spans="1:27" ht="12.75">
      <c r="A198" s="1" t="s">
        <v>21</v>
      </c>
      <c r="C198" s="1">
        <f t="shared" si="26"/>
        <v>15687743</v>
      </c>
      <c r="D198" s="1">
        <f t="shared" si="26"/>
        <v>18345303.380472537</v>
      </c>
      <c r="E198" s="11">
        <v>0</v>
      </c>
      <c r="F198" s="1">
        <f>+F$227*E198</f>
        <v>0</v>
      </c>
      <c r="G198" s="15">
        <v>6882801</v>
      </c>
      <c r="H198" s="1">
        <f>+H$227*G198</f>
        <v>8662383.613193108</v>
      </c>
      <c r="I198" s="11">
        <v>1274834</v>
      </c>
      <c r="J198" s="1">
        <f>+J$227*I198</f>
        <v>1318973.39133465</v>
      </c>
      <c r="K198" s="11">
        <v>646782</v>
      </c>
      <c r="L198" s="1">
        <f>+L$227*K198</f>
        <v>714859.7560737964</v>
      </c>
      <c r="M198" s="11">
        <v>4178424</v>
      </c>
      <c r="N198" s="1">
        <f>+N$227*M198</f>
        <v>4673259.739626032</v>
      </c>
      <c r="O198" s="11">
        <v>120420</v>
      </c>
      <c r="P198" s="1">
        <f>+P$227*O198</f>
        <v>136750.16491499747</v>
      </c>
      <c r="Q198" s="11">
        <v>799866</v>
      </c>
      <c r="R198" s="1">
        <f>+R$227*Q198</f>
        <v>866537.2327171994</v>
      </c>
      <c r="S198" s="11">
        <v>3666</v>
      </c>
      <c r="T198" s="1">
        <f>+T$227*S198</f>
        <v>4302.908963410572</v>
      </c>
      <c r="U198" s="11">
        <v>367021</v>
      </c>
      <c r="V198" s="1">
        <f>+V$227*U198</f>
        <v>391600.00789120985</v>
      </c>
      <c r="W198" s="11">
        <v>107351</v>
      </c>
      <c r="X198" s="1">
        <f>+X$227*W198</f>
        <v>120440.9465738135</v>
      </c>
      <c r="Y198" s="11">
        <v>1306578</v>
      </c>
      <c r="Z198" s="1">
        <f>+Z$227*Y198</f>
        <v>1456195.6191843194</v>
      </c>
      <c r="AA198">
        <f>+F198+H198+J198+L198+N198+P198+R198+T198+V198+X198+Z198</f>
        <v>18345303.380472537</v>
      </c>
    </row>
    <row r="199" spans="1:26" ht="12.75">
      <c r="A199" s="1" t="s">
        <v>23</v>
      </c>
      <c r="C199" s="1"/>
      <c r="D199" s="1">
        <f>D198/(D197*12)</f>
        <v>2200.9683179254525</v>
      </c>
      <c r="E199" s="11"/>
      <c r="F199" s="1">
        <v>0</v>
      </c>
      <c r="G199" s="15"/>
      <c r="H199" s="1">
        <f>H198/(H197*12)</f>
        <v>1974.8364448917102</v>
      </c>
      <c r="I199" s="11"/>
      <c r="J199" s="2" t="s">
        <v>32</v>
      </c>
      <c r="K199" s="11"/>
      <c r="L199" s="1">
        <f>L198/(L197*12)</f>
        <v>1633.4864045131003</v>
      </c>
      <c r="M199" s="11"/>
      <c r="N199" s="1">
        <v>0</v>
      </c>
      <c r="O199" s="11"/>
      <c r="P199" s="2" t="s">
        <v>32</v>
      </c>
      <c r="Q199" s="11"/>
      <c r="R199" s="1">
        <f>R198/(R197*12)</f>
        <v>1401.3467856166271</v>
      </c>
      <c r="S199" s="11"/>
      <c r="T199" s="1">
        <v>0</v>
      </c>
      <c r="U199" s="11"/>
      <c r="V199" s="2" t="s">
        <v>32</v>
      </c>
      <c r="W199" s="11"/>
      <c r="X199" s="1">
        <f>X198/(X197*12)</f>
        <v>2239.0025893873008</v>
      </c>
      <c r="Y199" s="11"/>
      <c r="Z199" s="1">
        <f>Z198/(Z197*12)</f>
        <v>3373.273731985772</v>
      </c>
    </row>
    <row r="200" spans="1:26" ht="12.75">
      <c r="A200" s="1"/>
      <c r="C200" s="1"/>
      <c r="D200" s="1"/>
      <c r="E200" s="11"/>
      <c r="F200" s="1"/>
      <c r="G200" s="15"/>
      <c r="H200" s="1"/>
      <c r="I200" s="11"/>
      <c r="J200" s="1"/>
      <c r="K200" s="11"/>
      <c r="L200" s="1"/>
      <c r="M200" s="11"/>
      <c r="N200" s="1"/>
      <c r="O200" s="11"/>
      <c r="P200" s="1"/>
      <c r="Q200" s="11"/>
      <c r="R200" s="1"/>
      <c r="S200" s="11"/>
      <c r="T200" s="1"/>
      <c r="U200" s="11"/>
      <c r="V200" s="1"/>
      <c r="W200" s="11"/>
      <c r="X200" s="1"/>
      <c r="Y200" s="11"/>
      <c r="Z200" s="1"/>
    </row>
    <row r="201" ht="12.75">
      <c r="A201" s="1" t="s">
        <v>158</v>
      </c>
    </row>
    <row r="202" spans="1:27" ht="12.75">
      <c r="A202" s="1" t="s">
        <v>18</v>
      </c>
      <c r="C202" s="1">
        <f aca="true" t="shared" si="27" ref="C202:D204">+E202+G202+I202+K202+M202+O202+Q202+S202+U202+W202+Y202</f>
        <v>959</v>
      </c>
      <c r="D202" s="1">
        <f t="shared" si="27"/>
        <v>1208.7799580449444</v>
      </c>
      <c r="E202" s="11">
        <v>1</v>
      </c>
      <c r="F202" s="1">
        <f>+F$225*E202</f>
        <v>1.8611111111111112</v>
      </c>
      <c r="G202" s="15">
        <v>100</v>
      </c>
      <c r="H202" s="1">
        <f>+H$225*G202</f>
        <v>156.81374463100352</v>
      </c>
      <c r="I202" s="11">
        <v>28</v>
      </c>
      <c r="J202" s="1">
        <f>+J$225*I202</f>
        <v>31.007338225483657</v>
      </c>
      <c r="K202" s="11">
        <v>142</v>
      </c>
      <c r="L202" s="1">
        <f>+L$225*K202</f>
        <v>194.86419753086417</v>
      </c>
      <c r="M202" s="11">
        <v>27</v>
      </c>
      <c r="N202" s="1">
        <f>+N$225*M202</f>
        <v>38.78428093645485</v>
      </c>
      <c r="O202" s="11">
        <v>202</v>
      </c>
      <c r="P202" s="1">
        <f>+P$225*O202</f>
        <v>233.50747198007474</v>
      </c>
      <c r="Q202" s="11">
        <v>207</v>
      </c>
      <c r="R202" s="1">
        <f>+R$225*Q202</f>
        <v>274.68068833652006</v>
      </c>
      <c r="S202" s="11">
        <v>112</v>
      </c>
      <c r="T202" s="1">
        <f>+T$225*S202</f>
        <v>122.29607250755286</v>
      </c>
      <c r="U202" s="11">
        <v>75</v>
      </c>
      <c r="V202" s="1">
        <f>+V$225*U202</f>
        <v>82.47562296858071</v>
      </c>
      <c r="W202" s="11">
        <v>45</v>
      </c>
      <c r="X202" s="1">
        <f>+X$225*W202</f>
        <v>50.704918032786885</v>
      </c>
      <c r="Y202" s="11">
        <v>20</v>
      </c>
      <c r="Z202" s="1">
        <f>+Z$225*Y202</f>
        <v>21.784511784511785</v>
      </c>
      <c r="AA202">
        <f>+F202+H202+J202+L202+N202+P202+R202+T202+V202+X202+Z202</f>
        <v>1208.7799580449444</v>
      </c>
    </row>
    <row r="203" spans="1:27" ht="12.75">
      <c r="A203" s="1" t="s">
        <v>20</v>
      </c>
      <c r="C203" s="1">
        <f t="shared" si="27"/>
        <v>12696</v>
      </c>
      <c r="D203" s="1">
        <f t="shared" si="27"/>
        <v>14103.98405011811</v>
      </c>
      <c r="E203" s="11">
        <v>5</v>
      </c>
      <c r="F203" s="1">
        <f>+F$226*E203</f>
        <v>5.780864197530864</v>
      </c>
      <c r="G203" s="15">
        <v>407</v>
      </c>
      <c r="H203" s="1">
        <f>+H$226*G203</f>
        <v>525.6939837535962</v>
      </c>
      <c r="I203" s="11">
        <v>329</v>
      </c>
      <c r="J203" s="1">
        <f>+J$226*I203</f>
        <v>339.88060538116594</v>
      </c>
      <c r="K203" s="11">
        <v>2208</v>
      </c>
      <c r="L203" s="1">
        <f>+L$226*K203</f>
        <v>2368.34098336373</v>
      </c>
      <c r="M203" s="11">
        <v>175</v>
      </c>
      <c r="N203" s="1">
        <f>+N$226*M203</f>
        <v>199.81888506876226</v>
      </c>
      <c r="O203" s="11">
        <v>2308</v>
      </c>
      <c r="P203" s="1">
        <f>+P$226*O203</f>
        <v>2746.1873266249663</v>
      </c>
      <c r="Q203" s="11">
        <v>1970</v>
      </c>
      <c r="R203" s="1">
        <f>+R$226*Q203</f>
        <v>2114.878143444104</v>
      </c>
      <c r="S203" s="11">
        <v>845</v>
      </c>
      <c r="T203" s="1">
        <f>+T$226*S203</f>
        <v>975.2366999469444</v>
      </c>
      <c r="U203" s="11">
        <v>2865</v>
      </c>
      <c r="V203" s="1">
        <f>+V$226*U203</f>
        <v>3048.41265053252</v>
      </c>
      <c r="W203" s="11">
        <v>271</v>
      </c>
      <c r="X203" s="1">
        <f>+X$226*W203</f>
        <v>303.70197608870717</v>
      </c>
      <c r="Y203" s="11">
        <v>1313</v>
      </c>
      <c r="Z203" s="1">
        <f>+Z$226*Y203</f>
        <v>1476.0519317160824</v>
      </c>
      <c r="AA203">
        <f>+F203+H203+J203+L203+N203+P203+R203+T203+V203+X203+Z203</f>
        <v>14103.98405011811</v>
      </c>
    </row>
    <row r="204" spans="1:27" ht="12.75">
      <c r="A204" s="1" t="s">
        <v>21</v>
      </c>
      <c r="C204" s="1">
        <f t="shared" si="27"/>
        <v>383521095</v>
      </c>
      <c r="D204" s="1">
        <f t="shared" si="27"/>
        <v>426858866.0451215</v>
      </c>
      <c r="E204" s="11">
        <v>278849</v>
      </c>
      <c r="F204" s="1">
        <f>+F$227*E204</f>
        <v>317316.80397642497</v>
      </c>
      <c r="G204" s="15">
        <v>12164329</v>
      </c>
      <c r="H204" s="1">
        <f>+H$227*G204</f>
        <v>15309477.085722763</v>
      </c>
      <c r="I204" s="11">
        <v>14053392</v>
      </c>
      <c r="J204" s="1">
        <f>+J$227*I204</f>
        <v>14539971.56178392</v>
      </c>
      <c r="K204" s="11">
        <v>57941006</v>
      </c>
      <c r="L204" s="1">
        <f>+L$227*K204</f>
        <v>64039650.78779307</v>
      </c>
      <c r="M204" s="11">
        <v>11564901</v>
      </c>
      <c r="N204" s="1">
        <f>+N$227*M204</f>
        <v>12934490.668266514</v>
      </c>
      <c r="O204" s="11">
        <v>110100065</v>
      </c>
      <c r="P204" s="1">
        <f>+P$227*O204</f>
        <v>125030742.78277645</v>
      </c>
      <c r="Q204" s="11">
        <v>69313708</v>
      </c>
      <c r="R204" s="1">
        <f>+R$227*Q204</f>
        <v>75091213.67790104</v>
      </c>
      <c r="S204" s="11">
        <v>21988496</v>
      </c>
      <c r="T204" s="1">
        <f>+T$227*S204</f>
        <v>25808646.08028301</v>
      </c>
      <c r="U204" s="11">
        <v>46836900</v>
      </c>
      <c r="V204" s="1">
        <f>+V$227*U204</f>
        <v>49973517.61779246</v>
      </c>
      <c r="W204" s="11">
        <f>4886399+23970</f>
        <v>4910369</v>
      </c>
      <c r="X204" s="1">
        <f>+X$227*W204</f>
        <v>5509119.527407384</v>
      </c>
      <c r="Y204" s="11">
        <v>34369080</v>
      </c>
      <c r="Z204" s="1">
        <f>+Z$227*Y204</f>
        <v>38304719.451418445</v>
      </c>
      <c r="AA204">
        <f>+F204+H204+J204+L204+N204+P204+R204+T204+V204+X204+Z204</f>
        <v>426858866.0451215</v>
      </c>
    </row>
    <row r="205" spans="1:26" ht="12.75">
      <c r="A205" s="1" t="s">
        <v>23</v>
      </c>
      <c r="C205" s="1"/>
      <c r="D205" s="1">
        <f>D204/(D203*12)</f>
        <v>2522.093902263659</v>
      </c>
      <c r="E205" s="11"/>
      <c r="F205" s="2" t="s">
        <v>32</v>
      </c>
      <c r="G205" s="15"/>
      <c r="H205" s="1">
        <f>H204/(H203*12)</f>
        <v>2426.8677150042354</v>
      </c>
      <c r="I205" s="11"/>
      <c r="J205" s="1">
        <f>J204/(J203*12)</f>
        <v>3564.9703973443297</v>
      </c>
      <c r="K205" s="11"/>
      <c r="L205" s="1">
        <f>L204/(L203*12)</f>
        <v>2253.323150313369</v>
      </c>
      <c r="M205" s="11"/>
      <c r="N205" s="1">
        <f>N204/(N203*12)</f>
        <v>5394.256013312363</v>
      </c>
      <c r="O205" s="11"/>
      <c r="P205" s="1">
        <f>P204/(P203*12)</f>
        <v>3794.0705880528863</v>
      </c>
      <c r="Q205" s="11"/>
      <c r="R205" s="1">
        <f>R204/(R203*12)</f>
        <v>2958.8471369960403</v>
      </c>
      <c r="S205" s="11"/>
      <c r="T205" s="1">
        <f>T204/(T203*12)</f>
        <v>2205.3317997643608</v>
      </c>
      <c r="U205" s="11"/>
      <c r="V205" s="1">
        <f>V204/(V203*12)</f>
        <v>1366.1076366269592</v>
      </c>
      <c r="W205" s="11"/>
      <c r="X205" s="1">
        <f>X204/(X203*12)</f>
        <v>1511.657249857737</v>
      </c>
      <c r="Y205" s="11"/>
      <c r="Z205" s="1">
        <f>Z204/(Z203*12)</f>
        <v>2162.5661575292465</v>
      </c>
    </row>
    <row r="206" spans="1:26" ht="12.75">
      <c r="A206" s="1"/>
      <c r="C206" s="1"/>
      <c r="D206" s="1"/>
      <c r="E206" s="11"/>
      <c r="F206" s="1"/>
      <c r="G206" s="15"/>
      <c r="H206" s="1"/>
      <c r="I206" s="11"/>
      <c r="J206" s="1"/>
      <c r="K206" s="11"/>
      <c r="L206" s="1"/>
      <c r="M206" s="11"/>
      <c r="N206" s="1"/>
      <c r="O206" s="11"/>
      <c r="P206" s="1"/>
      <c r="Q206" s="11"/>
      <c r="R206" s="1"/>
      <c r="S206" s="11"/>
      <c r="T206" s="1"/>
      <c r="U206" s="11"/>
      <c r="V206" s="1"/>
      <c r="W206" s="11"/>
      <c r="X206" s="1"/>
      <c r="Y206" s="11"/>
      <c r="Z206" s="1"/>
    </row>
    <row r="207" ht="12.75">
      <c r="A207" s="1" t="s">
        <v>90</v>
      </c>
    </row>
    <row r="208" spans="1:27" ht="12.75">
      <c r="A208" s="1" t="s">
        <v>18</v>
      </c>
      <c r="C208" s="1">
        <f aca="true" t="shared" si="28" ref="C208:D210">+E208+G208+I208+K208+M208+O208+Q208+S208+U208+W208+Y208</f>
        <v>444</v>
      </c>
      <c r="D208" s="1">
        <f t="shared" si="28"/>
        <v>574.6127048873869</v>
      </c>
      <c r="E208" s="11">
        <v>1</v>
      </c>
      <c r="F208" s="1">
        <f>+F$225*E208</f>
        <v>1.8611111111111112</v>
      </c>
      <c r="G208" s="15">
        <v>88</v>
      </c>
      <c r="H208" s="1">
        <f>+H$225*G208</f>
        <v>137.9960952752831</v>
      </c>
      <c r="I208" s="11">
        <v>18</v>
      </c>
      <c r="J208" s="1">
        <f>+J$225*I208</f>
        <v>19.933288859239493</v>
      </c>
      <c r="K208" s="11">
        <v>93</v>
      </c>
      <c r="L208" s="1">
        <f>+L$225*K208</f>
        <v>127.62232655190401</v>
      </c>
      <c r="M208" s="11">
        <v>8</v>
      </c>
      <c r="N208" s="1">
        <f>+N$225*M208</f>
        <v>11.491638795986622</v>
      </c>
      <c r="O208" s="11">
        <v>45</v>
      </c>
      <c r="P208" s="1">
        <f>+P$225*O208</f>
        <v>52.01899128268992</v>
      </c>
      <c r="Q208" s="11">
        <v>58</v>
      </c>
      <c r="R208" s="1">
        <f>+R$225*Q208</f>
        <v>76.96367112810708</v>
      </c>
      <c r="S208" s="11">
        <v>39</v>
      </c>
      <c r="T208" s="1">
        <f>+T$225*S208</f>
        <v>42.585239533880014</v>
      </c>
      <c r="U208" s="11">
        <v>42</v>
      </c>
      <c r="V208" s="1">
        <f>+V$225*U208</f>
        <v>46.1863488624052</v>
      </c>
      <c r="W208" s="11">
        <v>35</v>
      </c>
      <c r="X208" s="1">
        <f>+X$225*W208</f>
        <v>39.43715846994536</v>
      </c>
      <c r="Y208" s="11">
        <v>17</v>
      </c>
      <c r="Z208" s="1">
        <f>+Z$225*Y208</f>
        <v>18.516835016835017</v>
      </c>
      <c r="AA208">
        <f>+F208+H208+J208+L208+N208+P208+R208+T208+V208+X208+Z208</f>
        <v>574.6127048873869</v>
      </c>
    </row>
    <row r="209" spans="1:27" ht="12.75">
      <c r="A209" s="1" t="s">
        <v>20</v>
      </c>
      <c r="C209" s="1">
        <f t="shared" si="28"/>
        <v>5537</v>
      </c>
      <c r="D209" s="1">
        <f t="shared" si="28"/>
        <v>6154.600670652028</v>
      </c>
      <c r="E209" s="11">
        <v>10</v>
      </c>
      <c r="F209" s="1">
        <f>+F$226*E209</f>
        <v>11.561728395061728</v>
      </c>
      <c r="G209" s="15">
        <v>411</v>
      </c>
      <c r="H209" s="1">
        <f>+H$226*G209</f>
        <v>530.8605093924522</v>
      </c>
      <c r="I209" s="11">
        <v>449</v>
      </c>
      <c r="J209" s="1">
        <f>+J$226*I209</f>
        <v>463.8492152466368</v>
      </c>
      <c r="K209" s="11">
        <v>1257</v>
      </c>
      <c r="L209" s="1">
        <f>+L$226*K209</f>
        <v>1348.281076126906</v>
      </c>
      <c r="M209" s="11">
        <v>61</v>
      </c>
      <c r="N209" s="1">
        <f>+N$226*M209</f>
        <v>69.65115422396856</v>
      </c>
      <c r="O209" s="11">
        <v>240</v>
      </c>
      <c r="P209" s="1">
        <f>+P$226*O209</f>
        <v>285.5654065814523</v>
      </c>
      <c r="Q209" s="11">
        <v>335</v>
      </c>
      <c r="R209" s="1">
        <f>+R$226*Q209</f>
        <v>359.63663860597705</v>
      </c>
      <c r="S209" s="11">
        <v>479</v>
      </c>
      <c r="T209" s="1">
        <f>+T$226*S209</f>
        <v>552.8264843486229</v>
      </c>
      <c r="U209" s="11">
        <v>781</v>
      </c>
      <c r="V209" s="1">
        <f>+V$226*U209</f>
        <v>830.9983525535421</v>
      </c>
      <c r="W209" s="11">
        <v>183</v>
      </c>
      <c r="X209" s="1">
        <f>+X$226*W209</f>
        <v>205.08288422226352</v>
      </c>
      <c r="Y209" s="11">
        <v>1331</v>
      </c>
      <c r="Z209" s="1">
        <f>+Z$226*Y209</f>
        <v>1496.2872209551454</v>
      </c>
      <c r="AA209">
        <f>+F209+H209+J209+L209+N209+P209+R209+T209+V209+X209+Z209</f>
        <v>6154.600670652028</v>
      </c>
    </row>
    <row r="210" spans="1:27" ht="12.75">
      <c r="A210" s="1" t="s">
        <v>21</v>
      </c>
      <c r="C210" s="1">
        <f t="shared" si="28"/>
        <v>125401368</v>
      </c>
      <c r="D210" s="1">
        <f t="shared" si="28"/>
        <v>140497865.99511945</v>
      </c>
      <c r="E210" s="11">
        <v>331504</v>
      </c>
      <c r="F210" s="1">
        <f>+F$227*E210</f>
        <v>377235.671583548</v>
      </c>
      <c r="G210" s="15">
        <v>12113298</v>
      </c>
      <c r="H210" s="1">
        <f>+H$227*G210</f>
        <v>15245251.76551303</v>
      </c>
      <c r="I210" s="11">
        <v>13655856</v>
      </c>
      <c r="J210" s="1">
        <f>+J$227*I210</f>
        <v>14128671.41910055</v>
      </c>
      <c r="K210" s="11">
        <v>27334235</v>
      </c>
      <c r="L210" s="1">
        <f>+L$227*K210</f>
        <v>30211330.192497365</v>
      </c>
      <c r="M210" s="11">
        <v>3214974</v>
      </c>
      <c r="N210" s="1">
        <f>+N$227*M210</f>
        <v>3595711.8181746188</v>
      </c>
      <c r="O210" s="11">
        <v>6614712</v>
      </c>
      <c r="P210" s="1">
        <f>+P$227*O210</f>
        <v>7511733.573037807</v>
      </c>
      <c r="Q210" s="11">
        <v>6239895</v>
      </c>
      <c r="R210" s="1">
        <f>+R$227*Q210</f>
        <v>6760008.983687128</v>
      </c>
      <c r="S210" s="11">
        <v>11513322</v>
      </c>
      <c r="T210" s="1">
        <f>+T$227*S210</f>
        <v>13513577.859365012</v>
      </c>
      <c r="U210" s="11">
        <v>7066616</v>
      </c>
      <c r="V210" s="1">
        <f>+V$227*U210</f>
        <v>7539859.793756079</v>
      </c>
      <c r="W210" s="11">
        <v>3276149</v>
      </c>
      <c r="X210" s="1">
        <f>+X$227*W210</f>
        <v>3675629.353027476</v>
      </c>
      <c r="Y210" s="11">
        <v>34040807</v>
      </c>
      <c r="Z210" s="1">
        <f>+Z$227*Y210</f>
        <v>37938855.56537682</v>
      </c>
      <c r="AA210">
        <f>+F210+H210+J210+L210+N210+P210+R210+T210+V210+X210+Z210</f>
        <v>140497865.99511945</v>
      </c>
    </row>
    <row r="211" spans="1:26" ht="12.75">
      <c r="A211" s="1" t="s">
        <v>23</v>
      </c>
      <c r="C211" s="1"/>
      <c r="D211" s="1">
        <f>D210/(D209*12)</f>
        <v>1902.342024466862</v>
      </c>
      <c r="E211" s="11"/>
      <c r="F211" s="2" t="s">
        <v>32</v>
      </c>
      <c r="G211" s="15"/>
      <c r="H211" s="1">
        <f>H210/(H209*12)</f>
        <v>2393.1666127888266</v>
      </c>
      <c r="I211" s="11"/>
      <c r="J211" s="1">
        <f>J210/(J209*12)</f>
        <v>2538.3017718355027</v>
      </c>
      <c r="K211" s="11"/>
      <c r="L211" s="1">
        <f>L210/(L209*12)</f>
        <v>1867.2744830083277</v>
      </c>
      <c r="M211" s="11"/>
      <c r="N211" s="1">
        <f>N210/(N209*12)</f>
        <v>4302.048614313381</v>
      </c>
      <c r="O211" s="11"/>
      <c r="P211" s="1">
        <f>P210/(P209*12)</f>
        <v>2192.0645264663804</v>
      </c>
      <c r="Q211" s="11"/>
      <c r="R211" s="1">
        <f>R210/(R209*12)</f>
        <v>1566.3979180695328</v>
      </c>
      <c r="S211" s="11"/>
      <c r="T211" s="1">
        <f>T210/(T209*12)</f>
        <v>2037.0433041161207</v>
      </c>
      <c r="U211" s="11"/>
      <c r="V211" s="1">
        <f>V210/(V209*12)</f>
        <v>756.1045669331695</v>
      </c>
      <c r="W211" s="11"/>
      <c r="X211" s="1">
        <f>X210/(X209*12)</f>
        <v>1493.554409707152</v>
      </c>
      <c r="Y211" s="11"/>
      <c r="Z211" s="1">
        <f>Z210/(Z209*12)</f>
        <v>2112.9441278637437</v>
      </c>
    </row>
    <row r="213" spans="5:26" ht="12.75">
      <c r="E213" s="11"/>
      <c r="F213" s="1"/>
      <c r="G213" s="11"/>
      <c r="H213" s="1"/>
      <c r="I213" s="11"/>
      <c r="J213" s="1"/>
      <c r="K213" s="11"/>
      <c r="L213" s="1"/>
      <c r="M213" s="11"/>
      <c r="N213" s="1"/>
      <c r="O213" s="11"/>
      <c r="P213" s="1"/>
      <c r="Q213" s="11"/>
      <c r="R213" s="1"/>
      <c r="S213" s="11"/>
      <c r="T213" s="1"/>
      <c r="U213" s="11"/>
      <c r="V213" s="1"/>
      <c r="W213" s="11"/>
      <c r="X213" s="1"/>
      <c r="Y213" s="11"/>
      <c r="Z213" s="1"/>
    </row>
    <row r="214" spans="1:26" ht="12.75">
      <c r="A214" s="1" t="s">
        <v>161</v>
      </c>
      <c r="E214" s="11"/>
      <c r="F214" s="1"/>
      <c r="G214" s="11"/>
      <c r="H214" s="1"/>
      <c r="I214" s="11"/>
      <c r="J214" s="1"/>
      <c r="K214" s="11"/>
      <c r="L214" s="1"/>
      <c r="M214" s="11"/>
      <c r="N214" s="1"/>
      <c r="O214" s="11"/>
      <c r="P214" s="1"/>
      <c r="Q214" s="11"/>
      <c r="R214" s="1"/>
      <c r="S214" s="11"/>
      <c r="T214" s="1"/>
      <c r="U214" s="11"/>
      <c r="V214" s="1"/>
      <c r="W214" s="11"/>
      <c r="X214" s="1"/>
      <c r="Y214" s="11"/>
      <c r="Z214" s="1"/>
    </row>
    <row r="215" spans="1:26" ht="12.75">
      <c r="A215" s="1" t="s">
        <v>18</v>
      </c>
      <c r="C215" s="1">
        <f aca="true" t="shared" si="29" ref="C215:D217">+E215+G215+I215+K215+M215+O215+Q215+S215+U215+W215+Y215</f>
        <v>7193</v>
      </c>
      <c r="D215" s="1">
        <f t="shared" si="29"/>
        <v>9028.378476800552</v>
      </c>
      <c r="E215" s="11">
        <v>11</v>
      </c>
      <c r="F215" s="1">
        <f>+F$225*E215</f>
        <v>20.47222222222222</v>
      </c>
      <c r="G215" s="11">
        <v>314</v>
      </c>
      <c r="H215" s="1">
        <f>+H$225*G215</f>
        <v>492.395158141351</v>
      </c>
      <c r="I215" s="11">
        <v>322</v>
      </c>
      <c r="J215" s="1">
        <f>+J$225*I215</f>
        <v>356.58438959306204</v>
      </c>
      <c r="K215" s="11">
        <v>1582</v>
      </c>
      <c r="L215" s="1">
        <f>+L$225*K215</f>
        <v>2170.9518344635712</v>
      </c>
      <c r="M215" s="11">
        <v>233</v>
      </c>
      <c r="N215" s="1">
        <f>+N$225*M215</f>
        <v>334.69397993311037</v>
      </c>
      <c r="O215" s="11">
        <v>900</v>
      </c>
      <c r="P215" s="1">
        <f>+P$225*O215</f>
        <v>1040.3798256537982</v>
      </c>
      <c r="Q215" s="11">
        <v>1721</v>
      </c>
      <c r="R215" s="1">
        <f>+R$225*Q215</f>
        <v>2283.697896749522</v>
      </c>
      <c r="S215" s="11">
        <v>652</v>
      </c>
      <c r="T215" s="1">
        <f>+T$225*S215</f>
        <v>711.9378506689685</v>
      </c>
      <c r="U215" s="11">
        <v>661</v>
      </c>
      <c r="V215" s="1">
        <f>+V$225*U215</f>
        <v>726.8851570964247</v>
      </c>
      <c r="W215" s="11">
        <v>593</v>
      </c>
      <c r="X215" s="1">
        <f>+X$225*W215</f>
        <v>668.1781420765028</v>
      </c>
      <c r="Y215" s="11">
        <v>204</v>
      </c>
      <c r="Z215" s="1">
        <f>+Z$225*Y215</f>
        <v>222.2020202020202</v>
      </c>
    </row>
    <row r="216" spans="1:26" ht="12.75">
      <c r="A216" s="1" t="s">
        <v>20</v>
      </c>
      <c r="C216" s="1">
        <f t="shared" si="29"/>
        <v>187392</v>
      </c>
      <c r="D216" s="1">
        <f t="shared" si="29"/>
        <v>206976.49954408407</v>
      </c>
      <c r="E216" s="11">
        <v>157</v>
      </c>
      <c r="F216" s="1">
        <f>+F$226*E216</f>
        <v>181.51913580246912</v>
      </c>
      <c r="G216" s="11">
        <v>4133</v>
      </c>
      <c r="H216" s="1">
        <f>+H$226*G216</f>
        <v>5338.312616347944</v>
      </c>
      <c r="I216" s="11">
        <v>13116</v>
      </c>
      <c r="J216" s="1">
        <f>+J$226*I216</f>
        <v>13549.769058295966</v>
      </c>
      <c r="K216" s="11">
        <v>34353</v>
      </c>
      <c r="L216" s="1">
        <f>+L$226*K216</f>
        <v>36847.65298980716</v>
      </c>
      <c r="M216" s="11">
        <v>6284</v>
      </c>
      <c r="N216" s="1">
        <f>+N$226*M216</f>
        <v>7175.210707269155</v>
      </c>
      <c r="O216" s="11">
        <v>12575</v>
      </c>
      <c r="P216" s="1">
        <f>+P$226*O216</f>
        <v>14962.437449007344</v>
      </c>
      <c r="Q216" s="11">
        <v>34157</v>
      </c>
      <c r="R216" s="1">
        <f>+R$226*Q216</f>
        <v>36668.98108914734</v>
      </c>
      <c r="S216" s="11">
        <v>17056</v>
      </c>
      <c r="T216" s="1">
        <f>+T$226*S216</f>
        <v>19684.777697390633</v>
      </c>
      <c r="U216" s="11">
        <v>18427</v>
      </c>
      <c r="V216" s="1">
        <f>+V$226*U216</f>
        <v>19606.666635728707</v>
      </c>
      <c r="W216" s="11">
        <v>7421</v>
      </c>
      <c r="X216" s="1">
        <f>+X$226*W216</f>
        <v>8316.503190237254</v>
      </c>
      <c r="Y216" s="11">
        <v>39713</v>
      </c>
      <c r="Z216" s="1">
        <f>+Z$226*Y216</f>
        <v>44644.6689750501</v>
      </c>
    </row>
    <row r="217" spans="1:26" ht="12.75">
      <c r="A217" s="1" t="s">
        <v>21</v>
      </c>
      <c r="C217" s="1">
        <f t="shared" si="29"/>
        <v>7103803583</v>
      </c>
      <c r="D217" s="1">
        <f t="shared" si="29"/>
        <v>7870942930.222094</v>
      </c>
      <c r="E217" s="11">
        <v>11592426</v>
      </c>
      <c r="F217" s="1">
        <f>+F$227*E217</f>
        <v>13191625.462717142</v>
      </c>
      <c r="G217" s="11">
        <v>173801605</v>
      </c>
      <c r="H217" s="1">
        <f>+H$227*G217</f>
        <v>218738878.99688825</v>
      </c>
      <c r="I217" s="11">
        <v>542561133</v>
      </c>
      <c r="J217" s="1">
        <f>+J$227*I217</f>
        <v>561346573.4357415</v>
      </c>
      <c r="K217" s="11">
        <v>1337101771</v>
      </c>
      <c r="L217" s="1">
        <f>+L$227*K217</f>
        <v>1477839899.4760232</v>
      </c>
      <c r="M217" s="11">
        <v>265063016</v>
      </c>
      <c r="N217" s="1">
        <f>+N$227*M217</f>
        <v>296453476.51091677</v>
      </c>
      <c r="O217" s="11">
        <v>651491908</v>
      </c>
      <c r="P217" s="1">
        <f>+P$227*O217</f>
        <v>739840772.7934426</v>
      </c>
      <c r="Q217" s="11">
        <v>1452292763</v>
      </c>
      <c r="R217" s="1">
        <f>+R$227*Q217</f>
        <v>1573345725.3405387</v>
      </c>
      <c r="S217" s="11">
        <v>543144006</v>
      </c>
      <c r="T217" s="1">
        <f>+T$227*S217</f>
        <v>637506604.4299306</v>
      </c>
      <c r="U217" s="11">
        <v>398014366</v>
      </c>
      <c r="V217" s="1">
        <f>+V$227*U217</f>
        <v>424668966.80684453</v>
      </c>
      <c r="W217" s="11">
        <f>176303172+118960</f>
        <v>176422132</v>
      </c>
      <c r="X217" s="1">
        <f>+X$227*W217</f>
        <v>197934332.93262544</v>
      </c>
      <c r="Y217" s="11">
        <v>1552318457</v>
      </c>
      <c r="Z217" s="1">
        <f>+Z$227*Y217</f>
        <v>1730076074.0364234</v>
      </c>
    </row>
    <row r="218" spans="1:26" ht="12.75">
      <c r="A218" s="1" t="s">
        <v>23</v>
      </c>
      <c r="C218" s="1"/>
      <c r="D218" s="1">
        <f>D217/(D216*12)</f>
        <v>3169.016348699713</v>
      </c>
      <c r="F218" s="1">
        <f>F217/(F216*12)</f>
        <v>6056.12249658001</v>
      </c>
      <c r="H218" s="1">
        <f>H217/(H216*12)</f>
        <v>3414.6070540315586</v>
      </c>
      <c r="J218" s="1">
        <f>J217/(J216*12)</f>
        <v>3452.3747909197273</v>
      </c>
      <c r="L218" s="1">
        <f>L217/(L216*12)</f>
        <v>3342.229829140056</v>
      </c>
      <c r="N218" s="1">
        <f>N217/(N216*12)</f>
        <v>3443.028697524077</v>
      </c>
      <c r="P218" s="1">
        <f>P217/(P216*12)</f>
        <v>4120.54506111751</v>
      </c>
      <c r="R218" s="1">
        <f>R217/(R216*12)</f>
        <v>3575.560047867885</v>
      </c>
      <c r="T218" s="1">
        <f>T217/(T216*12)</f>
        <v>2698.8138340116016</v>
      </c>
      <c r="V218" s="1">
        <f>V217/(V216*12)</f>
        <v>1804.951408861538</v>
      </c>
      <c r="X218" s="1">
        <f>X217/(X216*12)</f>
        <v>1983.3489348922976</v>
      </c>
      <c r="Z218" s="1">
        <f>Z217/(Z216*12)</f>
        <v>3229.3442751311195</v>
      </c>
    </row>
    <row r="220" ht="12.75">
      <c r="E220" s="11"/>
    </row>
    <row r="221" spans="1:10" ht="12.75">
      <c r="A221" s="1" t="s">
        <v>183</v>
      </c>
      <c r="B221" s="1"/>
      <c r="C221" s="1"/>
      <c r="D221" s="1"/>
      <c r="E221" s="11"/>
      <c r="F221" s="1"/>
      <c r="G221" s="11"/>
      <c r="H221" s="1"/>
      <c r="I221" s="11"/>
      <c r="J221" s="1"/>
    </row>
    <row r="222" spans="1:10" ht="12.75">
      <c r="A222" s="1" t="s">
        <v>114</v>
      </c>
      <c r="B222" s="1"/>
      <c r="C222" s="1"/>
      <c r="D222" s="1"/>
      <c r="E222" s="11"/>
      <c r="F222" s="1"/>
      <c r="G222" s="11"/>
      <c r="H222" s="1"/>
      <c r="I222" s="11"/>
      <c r="J222" s="1"/>
    </row>
    <row r="223" spans="1:10" ht="12.75">
      <c r="A223" s="1" t="s">
        <v>115</v>
      </c>
      <c r="B223" s="1"/>
      <c r="C223" s="1"/>
      <c r="D223" s="1"/>
      <c r="E223" s="11"/>
      <c r="F223" s="1"/>
      <c r="G223" s="11"/>
      <c r="H223" s="1"/>
      <c r="I223" s="11"/>
      <c r="J223" s="1"/>
    </row>
    <row r="224" spans="5:26" ht="12.75">
      <c r="E224" s="10" t="s">
        <v>178</v>
      </c>
      <c r="F224" t="s">
        <v>179</v>
      </c>
      <c r="G224" s="10" t="s">
        <v>178</v>
      </c>
      <c r="H224" t="s">
        <v>179</v>
      </c>
      <c r="I224" s="10" t="s">
        <v>178</v>
      </c>
      <c r="J224" t="s">
        <v>179</v>
      </c>
      <c r="K224" s="10" t="s">
        <v>178</v>
      </c>
      <c r="L224" t="s">
        <v>179</v>
      </c>
      <c r="M224" s="10" t="s">
        <v>178</v>
      </c>
      <c r="N224" t="s">
        <v>179</v>
      </c>
      <c r="O224" s="10" t="s">
        <v>178</v>
      </c>
      <c r="P224" t="s">
        <v>179</v>
      </c>
      <c r="Q224" s="10" t="s">
        <v>178</v>
      </c>
      <c r="R224" t="s">
        <v>179</v>
      </c>
      <c r="S224" s="10" t="s">
        <v>178</v>
      </c>
      <c r="T224" t="s">
        <v>179</v>
      </c>
      <c r="U224" s="10" t="s">
        <v>178</v>
      </c>
      <c r="V224" t="s">
        <v>179</v>
      </c>
      <c r="W224" s="10" t="s">
        <v>178</v>
      </c>
      <c r="X224" t="s">
        <v>179</v>
      </c>
      <c r="Y224" s="10" t="s">
        <v>178</v>
      </c>
      <c r="Z224" t="s">
        <v>179</v>
      </c>
    </row>
    <row r="225" spans="5:26" ht="12.75">
      <c r="E225" s="10">
        <f>+E16+E22+E28+E34+E40+E55+E61+E67+E73+E79+E85+E100+E106+E112+E118+E124+E130+E145+E151+E157+E163+E169+E175+E190+E196+E202+E208</f>
        <v>36</v>
      </c>
      <c r="F225" s="4">
        <f>F10/E10</f>
        <v>1.8611111111111112</v>
      </c>
      <c r="G225" s="10">
        <f>+G16+G22+G28+G34+G40+G55+G61+G67+G73+G79+G85+G100+G106+G112+G118+G124+G130+G145+G151+G157+G163+G169+G175+G190+G196+G202+G208</f>
        <v>2561</v>
      </c>
      <c r="H225" s="4">
        <f>H10/G10</f>
        <v>1.568137446310035</v>
      </c>
      <c r="I225" s="10">
        <f>+I16+I22+I28+I34+I40+I55+I61+I67+I73+I79+I85+I100+I106+I112+I118+I124+I130+I145+I151+I157+I163+I169+I175+I190+I196+I202+I208</f>
        <v>1499</v>
      </c>
      <c r="J225" s="4">
        <f>J10/I10</f>
        <v>1.1074049366244163</v>
      </c>
      <c r="K225" s="10">
        <f>+K16+K22+K28+K34+K40+K55+K61+K67+K73+K79+K85+K100+K106+K112+K118+K124+K130+K145+K151+K157+K163+K169+K175+K190+K196+K202+K208</f>
        <v>5751</v>
      </c>
      <c r="L225" s="4">
        <f>L10/K10</f>
        <v>1.372283081203269</v>
      </c>
      <c r="M225" s="10">
        <f>+M16+M22+M28+M34+M40+M55+M61+M67+M73+M79+M85+M100+M106+M112+M118+M124+M130+M145+M151+M157+M163+M169+M175+M190+M196+M202+M208</f>
        <v>598</v>
      </c>
      <c r="N225" s="4">
        <f>N10/M10</f>
        <v>1.4364548494983278</v>
      </c>
      <c r="O225" s="10">
        <f>+O16+O22+O28+O34+O40+O55+O61+O67+O73+O79+O85+O100+O106+O112+O118+O124+O130+O145+O151+O157+O163+O169+O175+O190+O196+O202+O208</f>
        <v>3212</v>
      </c>
      <c r="P225" s="4">
        <f>P10/O10</f>
        <v>1.155977584059776</v>
      </c>
      <c r="Q225" s="10">
        <f>+Q16+Q22+Q28+Q34+Q40+Q55+Q61+Q67+Q73+Q79+Q85+Q100+Q106+Q112+Q118+Q124+Q130+Q145+Q151+Q157+Q163+Q169+Q175+Q190+Q196+Q202+Q208</f>
        <v>4707</v>
      </c>
      <c r="R225" s="4">
        <f>R10/Q10</f>
        <v>1.3269598470363289</v>
      </c>
      <c r="S225" s="10">
        <f>+S16+S22+S28+S34+S40+S55+S61+S67+S73+S79+S85+S100+S106+S112+S118+S124+S130+S145+S151+S157+S163+S169+S175+S190+S196+S202+S208</f>
        <v>2317</v>
      </c>
      <c r="T225" s="4">
        <f>T10/S10</f>
        <v>1.0919292188174363</v>
      </c>
      <c r="U225" s="10">
        <f>+U16+U22+U28+U34+U40+U55+U61+U67+U73+U79+U85+U100+U106+U112+U118+U124+U130+U145+U151+U157+U163+U169+U175+U190+U196+U202+U208</f>
        <v>1846</v>
      </c>
      <c r="V225" s="4">
        <f>V10/U10</f>
        <v>1.0996749729144095</v>
      </c>
      <c r="W225" s="10">
        <f>+W16+W22+W28+W34+W40+W55+W61+W67+W73+W79+W85+W100+W106+W112+W118+W124+W130+W145+W151+W157+W163+W169+W175+W190+W196+W202+W208</f>
        <v>1830</v>
      </c>
      <c r="X225" s="4">
        <f>X10/W10</f>
        <v>1.126775956284153</v>
      </c>
      <c r="Y225" s="10">
        <f>+Y16+Y22+Y28+Y34+Y40+Y55+Y61+Y67+Y73+Y79+Y85+Y100+Y106+Y112+Y118+Y124+Y130+Y145+Y151+Y157+Y163+Y169+Y175+Y190+Y196+Y202+Y208</f>
        <v>594</v>
      </c>
      <c r="Z225" s="4">
        <f>Z10/Y10</f>
        <v>1.0892255892255893</v>
      </c>
    </row>
    <row r="226" spans="5:26" ht="12.75">
      <c r="E226" s="10">
        <f>+E17+E23+E29+E35+E41+E56+E62+E68+E74+E80+E86+E101+E107+E113+E119+E125+E131+E146+E152+E158+E164+E170+E176+E191+E197+E203+E209</f>
        <v>1620</v>
      </c>
      <c r="F226" s="4">
        <f>F11/E11</f>
        <v>1.1561728395061728</v>
      </c>
      <c r="G226" s="10">
        <f>+G17+G23+G29+G35+G41+G56+G62+G68+G74+G80+G86+G101+G107+G113+G119+G125+G131+G146+G152+G158+G164+G170+G176+G191+G197+G203+G209</f>
        <v>23636</v>
      </c>
      <c r="H226" s="4">
        <f>H11/G11</f>
        <v>1.2916314097139956</v>
      </c>
      <c r="I226" s="10">
        <f>+I17+I23+I29+I35+I41+I56+I62+I68+I74+I80+I86+I101+I107+I113+I119+I125+I131+I146+I152+I158+I164+I170+I176+I191+I197+I203+I209</f>
        <v>48168</v>
      </c>
      <c r="J226" s="4">
        <f>J11/I11</f>
        <v>1.0330717488789238</v>
      </c>
      <c r="K226" s="10">
        <f>+K17+K23+K29+K35+K41+K56+K62+K68+K74+K80+K86+K101+K107+K113+K119+K125+K131+K146+K152+K158+K164+K170+K176+K191+K197+K203+K209</f>
        <v>108017</v>
      </c>
      <c r="L226" s="4">
        <f>L11/K11</f>
        <v>1.0726181989871966</v>
      </c>
      <c r="M226" s="10">
        <f>+M17+M23+M29+M35+M41+M56+M62+M68+M74+M80+M86+M101+M107+M113+M119+M125+M131+M146+M152+M158+M164+M170+M176+M191+M197+M203+M209</f>
        <v>16288</v>
      </c>
      <c r="N226" s="4">
        <f>N11/M11</f>
        <v>1.1418222003929273</v>
      </c>
      <c r="O226" s="10">
        <f>+O17+O23+O29+O35+O41+O56+O62+O68+O74+O80+O86+O101+O107+O113+O119+O125+O131+O146+O152+O158+O164+O170+O176+O191+O197+O203+O209</f>
        <v>36770</v>
      </c>
      <c r="P226" s="4">
        <f>P11/O11</f>
        <v>1.1898558607560512</v>
      </c>
      <c r="Q226" s="10">
        <f>+Q17+Q23+Q29+Q35+Q41+Q56+Q62+Q68+Q74+Q80+Q86+Q101+Q107+Q113+Q119+Q125+Q131+Q146+Q152+Q158+Q164+Q170+Q176+Q191+Q197+Q203+Q209</f>
        <v>74719</v>
      </c>
      <c r="R226" s="4">
        <f>R11/Q11</f>
        <v>1.0735422047939613</v>
      </c>
      <c r="S226" s="10">
        <f>+S17+S23+S29+S35+S41+S56+S62+S68+S74+S80+S86+S101+S107+S113+S119+S125+S131+S146+S152+S158+S164+S170+S176+S191+S197+S203+S209</f>
        <v>41466</v>
      </c>
      <c r="T226" s="4">
        <f>T11/S11</f>
        <v>1.1541262721265615</v>
      </c>
      <c r="U226" s="10">
        <f>+U17+U23+U29+U35+U41+U56+U62+U68+U74+U80+U86+U101+U107+U113+U119+U125+U131+U146+U152+U158+U164+U170+U176+U191+U197+U203+U209</f>
        <v>43097</v>
      </c>
      <c r="V226" s="4">
        <f>V11/U11</f>
        <v>1.0640183771492215</v>
      </c>
      <c r="W226" s="10">
        <f>+W17+W23+W29+W35+W41+W56+W62+W68+W74+W80+W86+W101+W107+W113+W119+W125+W131+W146+W152+W158+W164+W170+W176+W191+W197+W203+W209</f>
        <v>16143</v>
      </c>
      <c r="X226" s="4">
        <f>X11/W11</f>
        <v>1.1206714984823143</v>
      </c>
      <c r="Y226" s="10">
        <f>+Y17+Y23+Y29+Y35+Y41+Y56+Y62+Y68+Y74+Y80+Y86+Y101+Y107+Y113+Y119+Y125+Y131+Y146+Y152+Y158+Y164+Y170+Y176+Y191+Y197+Y203+Y209</f>
        <v>72345</v>
      </c>
      <c r="Z226" s="4">
        <f>Z11/Y11</f>
        <v>1.1241827355034901</v>
      </c>
    </row>
    <row r="227" spans="5:26" ht="12.75">
      <c r="E227" s="10">
        <f>+E18+E24+E30+E36+E42+E57+E63+E69+E75+E81+E87+E102+E108+E114+E120+E126+E132+E147+E153+E159+E165+E171+E177+E192+E198+E204+E210</f>
        <v>95158692</v>
      </c>
      <c r="F227" s="4">
        <f>F12/E12</f>
        <v>1.1379520958526836</v>
      </c>
      <c r="G227" s="10">
        <f>+G18+G24+G30+G36+G42+G57+G63+G69+G75+G81+G87+G102+G108+G114+G120+G126+G132+G147+G153+G159+G165+G171+G177+G192+G198+G204+G210</f>
        <v>824231347</v>
      </c>
      <c r="H227" s="4">
        <f>H12/G12</f>
        <v>1.2585550000927106</v>
      </c>
      <c r="I227" s="10">
        <f>+I18+I24+I30+I36+I42+I57+I63+I69+I75+I81+I87+I102+I108+I114+I120+I126+I132+I147+I153+I159+I165+I171+I177+I192+I198+I204+I210</f>
        <v>1843801781</v>
      </c>
      <c r="J227" s="4">
        <f>J12/I12</f>
        <v>1.0346236383204794</v>
      </c>
      <c r="K227" s="10">
        <f>+K18+K24+K30+K36+K42+K57+K63+K69+K75+K81+K87+K102+K108+K114+K120+K126+K132+K147+K153+K159+K165+K171+K177+K192+K198+K204+K210</f>
        <v>3473437407</v>
      </c>
      <c r="L227" s="4">
        <f>L12/K12</f>
        <v>1.1052561080453638</v>
      </c>
      <c r="M227" s="10">
        <f>+M18+M24+M30+M36+M42+M57+M63+M69+M75+M81+M87+M102+M108+M114+M120+M126+M132+M147+M153+M159+M165+M171+M177+M192+M198+M204+M210</f>
        <v>632028406</v>
      </c>
      <c r="N227" s="4">
        <f>N12/M12</f>
        <v>1.118426406613123</v>
      </c>
      <c r="O227" s="10">
        <f>+O18+O24+O30+O36+O42+O57+O63+O69+O75+O81+O87+O102+O108+O114+O120+O126+O132+O147+O153+O159+O165+O171+O177+O192+O198+O204+O210</f>
        <v>1589035285</v>
      </c>
      <c r="P227" s="4">
        <f>P12/O12</f>
        <v>1.135610072371678</v>
      </c>
      <c r="Q227" s="10">
        <f>+Q18+Q24+Q30+Q36+Q42+Q57+Q63+Q69+Q75+Q81+Q87+Q102+Q108+Q114+Q120+Q126+Q132+Q147+Q153+Q159+Q165+Q171+Q177+Q192+Q198+Q204+Q210</f>
        <v>2772415318</v>
      </c>
      <c r="R227" s="4">
        <f>R12/Q12</f>
        <v>1.083353002524422</v>
      </c>
      <c r="S227" s="10">
        <f>+S18+S24+S30+S36+S42+S57+S63+S69+S75+S81+S87+S102+S108+S114+S120+S126+S132+S147+S153+S159+S165+S171+S177+S192+S198+S204+S210</f>
        <v>1276348518</v>
      </c>
      <c r="T227" s="4">
        <f>T12/S12</f>
        <v>1.173734032572442</v>
      </c>
      <c r="U227" s="10">
        <f>+U18+U24+U30+U36+U42+U57+U63+U69+U75+U81+U87+U102+U108+U114+U120+U126+U132+U147+U153+U159+U165+U171+U177+U192+U198+U204+U210</f>
        <v>685792816</v>
      </c>
      <c r="V227" s="4">
        <f>V12/U12</f>
        <v>1.0669689415352523</v>
      </c>
      <c r="W227" s="10">
        <f>+W18+W24+W30+W36+W42+W57+W63+W69+W75+W81+W87+W102+W108+W114+W120+W126+W132+W147+W153+W159+W165+W171+W177+W192+W198+W204+W210</f>
        <v>382099123</v>
      </c>
      <c r="X227" s="4">
        <f>X12/W12</f>
        <v>1.1219359537760571</v>
      </c>
      <c r="Y227" s="10">
        <f>+Y18+Y24+Y30+Y36+Y42+Y57+Y63+Y69+Y75+Y81+Y87+Y102+Y108+Y114+Y120+Y126+Y132+Y147+Y153+Y159+Y165+Y171+Y177+Y192+Y198+Y204+Y210</f>
        <v>2510331702</v>
      </c>
      <c r="Z227" s="4">
        <f>Z12/Y12</f>
        <v>1.1145110503807039</v>
      </c>
    </row>
    <row r="229" spans="5:25" ht="12.75">
      <c r="E229" s="10" t="s">
        <v>143</v>
      </c>
      <c r="G229" s="10" t="s">
        <v>143</v>
      </c>
      <c r="I229" s="10" t="s">
        <v>143</v>
      </c>
      <c r="K229" s="10" t="s">
        <v>143</v>
      </c>
      <c r="M229" s="10" t="s">
        <v>143</v>
      </c>
      <c r="O229" s="10" t="s">
        <v>143</v>
      </c>
      <c r="Q229" s="10" t="s">
        <v>143</v>
      </c>
      <c r="S229" s="10" t="s">
        <v>143</v>
      </c>
      <c r="U229" s="10" t="s">
        <v>143</v>
      </c>
      <c r="W229" s="10" t="s">
        <v>143</v>
      </c>
      <c r="Y229" s="10" t="s">
        <v>143</v>
      </c>
    </row>
    <row r="230" spans="3:25" ht="12.75">
      <c r="C230" s="14">
        <f>+D16+D22+D28+D34+D40+D55+D61+D67+D73+D79+D85+D100+D106+D112+D118+D124+D130+D145+D151+D157+D163+D169+D175+D190+D196+D202+D208</f>
        <v>31722</v>
      </c>
      <c r="D230" s="14"/>
      <c r="E230" s="14">
        <f>+F16+F22+F28+F34+F40+F55+F61+F67+F73+F79+F85+F100+F106+F112+F118+F124+F130+F145+F151+F157+F163+F169+F175+F190+F196+F202+F208</f>
        <v>67.00000000000001</v>
      </c>
      <c r="F230" s="14"/>
      <c r="G230" s="14">
        <f>+H16+H22+H28+H34+H40+H55+H61+H67+H73+H79+H85+H100+H106+H112+H118+H124+H130+H145+H151+H157+H163+H169+H175+H190+H196+H202+H208</f>
        <v>4015.999999999998</v>
      </c>
      <c r="H230" s="6"/>
      <c r="I230" s="14">
        <f>+J16+J22+J28+J34+J40+J55+J61+J67+J73+J79+J85+J100+J106+J112+J118+J124+J130+J145+J151+J157+J163+J169+J175+J190+J196+J202+J208</f>
        <v>1659.9999999999998</v>
      </c>
      <c r="J230" s="6"/>
      <c r="K230" s="14">
        <f>+L16+L22+L28+L34+L40+L55+L61+L67+L73+L79+L85+L100+L106+L112+L118+L124+L130+L145+L151+L157+L163+L169+L175+L190+L196+L202+L208</f>
        <v>7891.999999999997</v>
      </c>
      <c r="L230" s="6"/>
      <c r="M230" s="14">
        <f>+N16+N22+N28+N34+N40+N55+N61+N67+N73+N79+N85+N100+N106+N112+N118+N124+N130+N145+N151+N157+N163+N169+N175+N190+N196+N202+N208</f>
        <v>859.0000000000001</v>
      </c>
      <c r="N230" s="6"/>
      <c r="O230" s="14">
        <f>+P16+P22+P28+P34+P40+P55+P61+P67+P73+P79+P85+P100+P106+P112+P118+P124+P130+P145+P151+P157+P163+P169+P175+P190+P196+P202+P208</f>
        <v>3712.9999999999995</v>
      </c>
      <c r="P230" s="6"/>
      <c r="Q230" s="14">
        <f>+R16+R22+R28+R34+R40+R55+R61+R67+R73+R79+R85+R100+R106+R112+R118+R124+R130+R145+R151+R157+R163+R169+R175+R190+R196+R202+R208</f>
        <v>6245.999999999998</v>
      </c>
      <c r="R230" s="6"/>
      <c r="S230" s="14">
        <f>+T16+T22+T28+T34+T40+T55+T61+T67+T73+T79+T85+T100+T106+T112+T118+T124+T130+T145+T151+T157+T163+T169+T175+T190+T196+T202+T208</f>
        <v>2530</v>
      </c>
      <c r="T230" s="6"/>
      <c r="U230" s="14">
        <f>+V16+V22+V28+V34+V40+V55+V61+V67+V73+V79+V85+V100+V106+V112+V118+V124+V130+V145+V151+V157+V163+V169+V175+V190+V196+V202+V208</f>
        <v>2029.9999999999998</v>
      </c>
      <c r="V230" s="6"/>
      <c r="W230" s="14">
        <f>+X16+X22+X28+X34+X40+X55+X61+X67+X73+X79+X85+X100+X106+X112+X118+X124+X130+X145+X151+X157+X163+X169+X175+X190+X196+X202+X208</f>
        <v>2062</v>
      </c>
      <c r="X230" s="6"/>
      <c r="Y230" s="14">
        <f>+Z16+Z22+Z28+Z34+Z40+Z55+Z61+Z67+Z73+Z79+Z85+Z100+Z106+Z112+Z118+Z124+Z130+Z145+Z151+Z157+Z163+Z169+Z175+Z190+Z196+Z202+Z208</f>
        <v>647.0000000000002</v>
      </c>
    </row>
    <row r="231" spans="3:25" ht="12.75">
      <c r="C231" s="14">
        <f>+D17+D23+D29+D35+D41+D56+D62+D68+D74+D80+D86+D101+D107+D113+D119+D125+D131+D146+D152+D158+D164+D170+D176+D191+D197+D203+D209</f>
        <v>533720</v>
      </c>
      <c r="D231" s="14"/>
      <c r="E231" s="14">
        <f>+F17+F23+F29+F35+F41+F56+F62+F68+F74+F80+F86+F101+F107+F113+F119+F125+F131+F146+F152+F158+F164+F170+F176+F191+F197+F203+F209</f>
        <v>1872.9999999999995</v>
      </c>
      <c r="F231" s="6"/>
      <c r="G231" s="14">
        <f>+H17+H23+H29+H35+H41+H56+H62+H68+H74+H80+H86+H101+H107+H113+H119+H125+H131+H146+H152+H158+H164+H170+H176+H191+H197+H203+H209</f>
        <v>30529.000000000004</v>
      </c>
      <c r="H231" s="6"/>
      <c r="I231" s="14">
        <f>+J17+J23+J29+J35+J41+J56+J62+J68+J74+J80+J86+J101+J107+J113+J119+J125+J131+J146+J152+J158+J164+J170+J176+J191+J197+J203+J209</f>
        <v>49761</v>
      </c>
      <c r="J231" s="6"/>
      <c r="K231" s="14">
        <f>+L17+L23+L29+L35+L41+L56+L62+L68+L74+L80+L86+L101+L107+L113+L119+L125+L131+L146+L152+L158+L164+L170+L176+L191+L197+L203+L209</f>
        <v>115861.00000000003</v>
      </c>
      <c r="L231" s="6"/>
      <c r="M231" s="14">
        <f>+N17+N23+N29+N35+N41+N56+N62+N68+N74+N80+N86+N101+N107+N113+N119+N125+N131+N146+N152+N158+N164+N170+N176+N191+N197+N203+N209</f>
        <v>18598</v>
      </c>
      <c r="N231" s="6"/>
      <c r="O231" s="14">
        <f>+P17+P23+P29+P35+P41+P56+P62+P68+P74+P80+P86+P101+P107+P113+P119+P125+P131+P146+P152+P158+P164+P170+P176+P191+P197+P203+P209</f>
        <v>43751</v>
      </c>
      <c r="P231" s="6"/>
      <c r="Q231" s="14">
        <f>+R17+R23+R29+R35+R41+R56+R62+R68+R74+R80+R86+R101+R107+R113+R119+R125+R131+R146+R152+R158+R164+R170+R176+R191+R197+R203+R209</f>
        <v>80214.00000000001</v>
      </c>
      <c r="R231" s="6"/>
      <c r="S231" s="14">
        <f>+T17+T23+T29+T35+T41+T56+T62+T68+T74+T80+T86+T101+T107+T113+T119+T125+T131+T146+T152+T158+T164+T170+T176+T191+T197+T203+T209</f>
        <v>47857</v>
      </c>
      <c r="T231" s="6"/>
      <c r="U231" s="14">
        <f>+V17+V23+V29+V35+V41+V56+V62+V68+V74+V80+V86+V101+V107+V113+V119+V125+V131+V146+V152+V158+V164+V170+V176+V191+V197+V203+V209</f>
        <v>45855.99999999999</v>
      </c>
      <c r="V231" s="6"/>
      <c r="W231" s="14">
        <f>+X17+X23+X29+X35+X41+X56+X62+X68+X74+X80+X86+X101+X107+X113+X119+X125+X131+X146+X152+X158+X164+X170+X176+X191+X197+X203+X209</f>
        <v>18091</v>
      </c>
      <c r="X231" s="6"/>
      <c r="Y231" s="14">
        <f>+Z17+Z23+Z29+Z35+Z41+Z56+Z62+Z68+Z74+Z80+Z86+Z101+Z107+Z113+Z119+Z125+Z131+Z146+Z152+Z158+Z164+Z170+Z176+Z191+Z197+Z203+Z209</f>
        <v>81329</v>
      </c>
    </row>
    <row r="232" spans="3:25" ht="12.75">
      <c r="C232" s="14">
        <f>+D18+D24+D30+D36+D42+D57+D63+D69+D75+D81+D87+D102+D108+D114+D120+D126+D132+D147+D153+D159+D165+D171+D177+D192+D198+D204+D210</f>
        <v>17863508020.000004</v>
      </c>
      <c r="D232" s="14"/>
      <c r="E232" s="14">
        <f>+F18+F24+F30+F36+F42+F57+F63+F69+F75+F81+F87+F102+F108+F114+F120+F126+F132+F147+F153+F159+F165+F171+F177+F192+F198+F204+F210</f>
        <v>108286033.00000001</v>
      </c>
      <c r="F232" s="6"/>
      <c r="G232" s="14">
        <f>+H18+H24+H30+H36+H42+H57+H63+H69+H75+H81+H87+H102+H108+H114+H120+H126+H132+H147+H153+H159+H165+H171+H177+H192+H198+H204+H210</f>
        <v>1037340483.0000001</v>
      </c>
      <c r="H232" s="6"/>
      <c r="I232" s="14">
        <f>+J18+J24+J30+J36+J42+J57+J63+J69+J75+J81+J87+J102+J108+J114+J120+J126+J132+J147+J153+J159+J165+J171+J177+J192+J198+J204+J210</f>
        <v>1907640906.9999998</v>
      </c>
      <c r="J232" s="6"/>
      <c r="K232" s="14">
        <f>+L18+L24+L30+L36+L42+L57+L63+L69+L75+L81+L87+L102+L108+L114+L120+L126+L132+L147+L153+L159+L165+L171+L177+L192+L198+L204+L210</f>
        <v>3839037910</v>
      </c>
      <c r="L232" s="6"/>
      <c r="M232" s="14">
        <f>+N18+N24+N30+N36+N42+N57+N63+N69+N75+N81+N87+N102+N108+N114+N120+N126+N132+N147+N153+N159+N165+N171+N177+N192+N198+N204+N210</f>
        <v>706877259.0000001</v>
      </c>
      <c r="N232" s="6"/>
      <c r="O232" s="14">
        <f>+P18+P24+P30+P36+P42+P57+P63+P69+P75+P81+P87+P102+P108+P114+P120+P126+P132+P147+P153+P159+P165+P171+P177+P192+P198+P204+P210</f>
        <v>1804524475.0000002</v>
      </c>
      <c r="P232" s="6"/>
      <c r="Q232" s="14">
        <f>+R18+R24+R30+R36+R42+R57+R63+R69+R75+R81+R87+R102+R108+R114+R120+R126+R132+R147+R153+R159+R165+R171+R177+R192+R198+R204+R210</f>
        <v>3003504459</v>
      </c>
      <c r="R232" s="6"/>
      <c r="S232" s="14">
        <f>+T18+T24+T30+T36+T42+T57+T63+T69+T75+T81+T87+T102+T108+T114+T120+T126+T132+T147+T153+T159+T165+T171+T177+T192+T198+T204+T210</f>
        <v>1498093692.9999998</v>
      </c>
      <c r="T232" s="6"/>
      <c r="U232" s="14">
        <f>+V18+V24+V30+V36+V42+V57+V63+V69+V75+V81+V87+V102+V108+V114+V120+V126+V132+V147+V153+V159+V165+V171+V177+V192+V198+V204+V210</f>
        <v>731719635</v>
      </c>
      <c r="V232" s="6"/>
      <c r="W232" s="14">
        <f>+X18+X24+X30+X36+X42+X57+X63+X69+X75+X81+X87+X102+X108+X114+X120+X126+X132+X147+X153+X159+X165+X171+X177+X192+X198+X204+X210</f>
        <v>428690743.99999994</v>
      </c>
      <c r="X232" s="6"/>
      <c r="Y232" s="14">
        <f>+Z18+Z24+Z30+Z36+Z42+Z57+Z63+Z69+Z75+Z81+Z87+Z102+Z108+Z114+Z120+Z126+Z132+Z147+Z153+Z159+Z165+Z171+Z177+Z192+Z198+Z204+Z210</f>
        <v>2797792422</v>
      </c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2"/>
  <sheetViews>
    <sheetView zoomScale="75" zoomScaleNormal="75" workbookViewId="0" topLeftCell="A37">
      <selection activeCell="C42" sqref="C42"/>
    </sheetView>
  </sheetViews>
  <sheetFormatPr defaultColWidth="9.140625" defaultRowHeight="12.75"/>
  <cols>
    <col min="3" max="3" width="12.421875" style="10" customWidth="1"/>
    <col min="4" max="4" width="12.57421875" style="0" customWidth="1"/>
    <col min="5" max="5" width="9.140625" style="16" customWidth="1"/>
    <col min="6" max="6" width="9.28125" style="0" bestFit="1" customWidth="1"/>
    <col min="7" max="7" width="11.140625" style="10" customWidth="1"/>
    <col min="8" max="8" width="11.140625" style="0" customWidth="1"/>
    <col min="9" max="9" width="12.00390625" style="10" customWidth="1"/>
    <col min="10" max="10" width="11.28125" style="0" customWidth="1"/>
    <col min="11" max="11" width="11.140625" style="10" customWidth="1"/>
    <col min="12" max="12" width="10.421875" style="0" customWidth="1"/>
    <col min="13" max="13" width="11.00390625" style="10" customWidth="1"/>
    <col min="14" max="14" width="11.00390625" style="0" customWidth="1"/>
    <col min="15" max="15" width="11.00390625" style="10" customWidth="1"/>
    <col min="16" max="16" width="11.421875" style="0" customWidth="1"/>
    <col min="17" max="17" width="10.8515625" style="10" customWidth="1"/>
    <col min="18" max="18" width="10.421875" style="0" customWidth="1"/>
    <col min="19" max="19" width="11.00390625" style="10" customWidth="1"/>
    <col min="20" max="20" width="11.00390625" style="0" customWidth="1"/>
    <col min="21" max="21" width="10.421875" style="10" customWidth="1"/>
    <col min="22" max="22" width="10.57421875" style="0" customWidth="1"/>
    <col min="23" max="23" width="10.00390625" style="10" customWidth="1"/>
    <col min="24" max="24" width="9.7109375" style="0" bestFit="1" customWidth="1"/>
    <col min="25" max="25" width="10.8515625" style="10" customWidth="1"/>
    <col min="26" max="26" width="10.421875" style="0" customWidth="1"/>
    <col min="27" max="27" width="12.57421875" style="0" customWidth="1"/>
  </cols>
  <sheetData>
    <row r="1" spans="12:26" ht="12.75">
      <c r="L1" t="s">
        <v>188</v>
      </c>
      <c r="Y1" s="10" t="s">
        <v>62</v>
      </c>
      <c r="Z1" s="1"/>
    </row>
    <row r="2" spans="16:26" ht="12.75">
      <c r="P2" t="s">
        <v>200</v>
      </c>
      <c r="Z2" s="1"/>
    </row>
    <row r="3" ht="12.75">
      <c r="Z3" s="1"/>
    </row>
    <row r="4" spans="1:26" ht="12.75">
      <c r="A4" s="1"/>
      <c r="B4" s="1"/>
      <c r="C4" s="11"/>
      <c r="D4" s="1"/>
      <c r="E4" s="17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7"/>
      <c r="F5" s="1"/>
      <c r="G5" s="11"/>
      <c r="H5" s="1"/>
      <c r="I5" s="11"/>
      <c r="J5" s="1"/>
      <c r="K5" s="11"/>
      <c r="L5" s="1" t="s">
        <v>124</v>
      </c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7"/>
      <c r="F6" s="1"/>
      <c r="G6" s="11"/>
      <c r="H6" s="1"/>
      <c r="I6" s="11"/>
      <c r="J6" s="1"/>
      <c r="K6" s="11"/>
      <c r="L6" s="1" t="s">
        <v>187</v>
      </c>
      <c r="M6" s="11"/>
      <c r="N6" s="1"/>
      <c r="O6" s="11"/>
      <c r="P6" s="2" t="s">
        <v>128</v>
      </c>
      <c r="Q6" s="12"/>
      <c r="R6" s="1" t="s">
        <v>129</v>
      </c>
      <c r="S6" s="11"/>
      <c r="T6" s="2" t="s">
        <v>131</v>
      </c>
      <c r="U6" s="12"/>
      <c r="V6" s="2" t="s">
        <v>133</v>
      </c>
      <c r="W6" s="12"/>
      <c r="X6" s="2" t="s">
        <v>140</v>
      </c>
      <c r="Y6" s="12"/>
      <c r="Z6" s="1"/>
    </row>
    <row r="7" spans="1:26" ht="12.75">
      <c r="A7" s="1" t="s">
        <v>185</v>
      </c>
      <c r="B7" s="1"/>
      <c r="C7" s="11"/>
      <c r="D7" s="2" t="s">
        <v>184</v>
      </c>
      <c r="E7" s="18" t="s">
        <v>144</v>
      </c>
      <c r="F7" s="2" t="s">
        <v>7</v>
      </c>
      <c r="G7" s="11" t="s">
        <v>145</v>
      </c>
      <c r="H7" s="1" t="s">
        <v>8</v>
      </c>
      <c r="I7" s="11" t="s">
        <v>146</v>
      </c>
      <c r="J7" s="2" t="s">
        <v>9</v>
      </c>
      <c r="K7" s="11" t="s">
        <v>147</v>
      </c>
      <c r="L7" s="1" t="s">
        <v>125</v>
      </c>
      <c r="M7" s="11" t="s">
        <v>148</v>
      </c>
      <c r="N7" s="2" t="s">
        <v>126</v>
      </c>
      <c r="O7" s="12" t="s">
        <v>149</v>
      </c>
      <c r="P7" s="2" t="s">
        <v>127</v>
      </c>
      <c r="Q7" s="12" t="s">
        <v>150</v>
      </c>
      <c r="R7" s="1" t="s">
        <v>130</v>
      </c>
      <c r="S7" s="11" t="s">
        <v>151</v>
      </c>
      <c r="T7" s="2" t="s">
        <v>132</v>
      </c>
      <c r="U7" s="12" t="s">
        <v>152</v>
      </c>
      <c r="V7" s="2" t="s">
        <v>134</v>
      </c>
      <c r="W7" s="12" t="s">
        <v>153</v>
      </c>
      <c r="X7" s="2" t="s">
        <v>141</v>
      </c>
      <c r="Y7" s="12" t="s">
        <v>154</v>
      </c>
      <c r="Z7" s="2" t="s">
        <v>94</v>
      </c>
    </row>
    <row r="8" spans="1:26" ht="12.75">
      <c r="A8" s="1"/>
      <c r="B8" s="1"/>
      <c r="C8" s="11"/>
      <c r="D8" s="2"/>
      <c r="E8" s="18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 t="s">
        <v>16</v>
      </c>
      <c r="B9" s="1"/>
      <c r="C9" s="11" t="s">
        <v>155</v>
      </c>
      <c r="D9" s="1"/>
      <c r="E9" s="17" t="s">
        <v>182</v>
      </c>
      <c r="F9" s="1"/>
      <c r="G9" s="11" t="s">
        <v>182</v>
      </c>
      <c r="H9" s="1"/>
      <c r="I9" s="11" t="s">
        <v>182</v>
      </c>
      <c r="J9" s="1"/>
      <c r="K9" s="11" t="s">
        <v>182</v>
      </c>
      <c r="L9" s="1"/>
      <c r="M9" s="11" t="s">
        <v>182</v>
      </c>
      <c r="N9" s="1"/>
      <c r="O9" s="11" t="s">
        <v>182</v>
      </c>
      <c r="P9" s="1"/>
      <c r="Q9" s="11" t="s">
        <v>182</v>
      </c>
      <c r="R9" s="1"/>
      <c r="S9" s="11" t="s">
        <v>182</v>
      </c>
      <c r="T9" s="1"/>
      <c r="U9" s="11" t="s">
        <v>182</v>
      </c>
      <c r="V9" s="1"/>
      <c r="W9" s="11" t="s">
        <v>182</v>
      </c>
      <c r="X9" s="1"/>
      <c r="Y9" s="11" t="s">
        <v>182</v>
      </c>
      <c r="Z9" s="1"/>
    </row>
    <row r="10" spans="1:27" ht="12.75">
      <c r="A10" s="1" t="s">
        <v>18</v>
      </c>
      <c r="B10" s="1"/>
      <c r="C10" s="11">
        <f>+D16+D22+D28+D34+D67+D79</f>
        <v>7289.192294374807</v>
      </c>
      <c r="D10" s="1">
        <f>+F10+H10+J10+L10+N10+P10+R10+T10+V10+X10+Z10</f>
        <v>12205</v>
      </c>
      <c r="E10" s="1">
        <f>+E16+E22+E28+E34+E40+E55+E61+E67+E73+E79+E85+E100+E106</f>
        <v>1</v>
      </c>
      <c r="F10" s="1">
        <v>12</v>
      </c>
      <c r="G10" s="1">
        <f>+G16+G22+G28+G34+G40+G55+G61+G67+G73+G79+G85+G100+G106</f>
        <v>712</v>
      </c>
      <c r="H10" s="1">
        <v>2175</v>
      </c>
      <c r="I10" s="1">
        <f>+I16+I22+I28+I34+I40+I55+I61+I67+I73+I79+I85+I100+I106</f>
        <v>375</v>
      </c>
      <c r="J10" s="1">
        <v>648</v>
      </c>
      <c r="K10" s="1">
        <f>+K16+K22+K28+K34+K40+K55+K61+K67+K73+K79+K85+K100+K106</f>
        <v>1104</v>
      </c>
      <c r="L10" s="1">
        <v>2181</v>
      </c>
      <c r="M10" s="1">
        <f>+M16+M22+M28+M34+M40+M55+M61+M67+M73+M79+M85+M100+M106</f>
        <v>143</v>
      </c>
      <c r="N10" s="1">
        <v>403</v>
      </c>
      <c r="O10" s="1">
        <f>+O16+O22+O28+O34+O40+O55+O61+O67+O73+O79+O85+O100+O106</f>
        <v>595</v>
      </c>
      <c r="P10" s="1">
        <v>1509</v>
      </c>
      <c r="Q10" s="1">
        <f>+Q16+Q22+Q28+Q34+Q40+Q55+Q61+Q67+Q73+Q79+Q85+Q100+Q106</f>
        <v>767</v>
      </c>
      <c r="R10" s="1">
        <v>2302</v>
      </c>
      <c r="S10" s="1">
        <f>+S16+S22+S28+S34+S40+S55+S61+S67+S73+S79+S85+S100+S106</f>
        <v>543</v>
      </c>
      <c r="T10" s="1">
        <v>1191</v>
      </c>
      <c r="U10" s="1">
        <f>+U16+U22+U28+U34+U40+U55+U61+U67+U73+U79+U85+U100+U106</f>
        <v>381</v>
      </c>
      <c r="V10" s="1">
        <v>720</v>
      </c>
      <c r="W10" s="1">
        <f>+W16+W22+W28+W34+W40+W55+W61+W67+W73+W79+W85+W100+W106</f>
        <v>319</v>
      </c>
      <c r="X10" s="1">
        <f>619+25</f>
        <v>644</v>
      </c>
      <c r="Y10" s="1">
        <f>+Y16+Y22+Y28+Y34+Y40+Y55+Y61+Y67+Y73+Y79+Y85+Y100+Y106</f>
        <v>332</v>
      </c>
      <c r="Z10" s="1">
        <v>420</v>
      </c>
      <c r="AA10" s="1">
        <v>16</v>
      </c>
    </row>
    <row r="11" spans="1:27" ht="12.75">
      <c r="A11" s="1" t="s">
        <v>20</v>
      </c>
      <c r="B11" s="1"/>
      <c r="C11" s="11">
        <f>+D17+D23+D29+D35+D68+D80</f>
        <v>108500.76079109078</v>
      </c>
      <c r="D11" s="1">
        <f>+F11+H11+J11+L11+N11+P11+R11+T11+V11+X11+Z11</f>
        <v>176769</v>
      </c>
      <c r="E11" s="1">
        <f>+E17+E23+E29+E35+E41+E56+E62+E68+E74+E80+E86+E101+E107</f>
        <v>7</v>
      </c>
      <c r="F11" s="1">
        <v>48</v>
      </c>
      <c r="G11" s="1">
        <f>+G17+G23+G29+G35+G41+G56+G62+G68+G74+G80+G86+G101+G107</f>
        <v>7089</v>
      </c>
      <c r="H11" s="1">
        <v>15510</v>
      </c>
      <c r="I11" s="1">
        <f>+I17+I23+I29+I35+I41+I56+I62+I68+I74+I80+I86+I101+I107</f>
        <v>17874</v>
      </c>
      <c r="J11" s="1">
        <v>18315</v>
      </c>
      <c r="K11" s="1">
        <f>+K17+K23+K29+K35+K41+K56+K62+K68+K74+K80+K86+K101+K107</f>
        <v>22576</v>
      </c>
      <c r="L11" s="1">
        <v>28785</v>
      </c>
      <c r="M11" s="1">
        <f>+M17+M23+M29+M35+M41+M56+M62+M68+M74+M80+M86+M101+M107</f>
        <v>5473</v>
      </c>
      <c r="N11" s="1">
        <v>8097</v>
      </c>
      <c r="O11" s="1">
        <f>+O17+O23+O29+O35+O41+O56+O62+O68+O74+O80+O86+O101+O107</f>
        <v>3911</v>
      </c>
      <c r="P11" s="1">
        <v>6315</v>
      </c>
      <c r="Q11" s="1">
        <f>+Q17+Q23+Q29+Q35+Q41+Q56+Q62+Q68+Q74+Q80+Q86+Q101+Q107</f>
        <v>14192</v>
      </c>
      <c r="R11" s="1">
        <v>21862</v>
      </c>
      <c r="S11" s="1">
        <f>+S17+S23+S29+S35+S41+S56+S62+S68+S74+S80+S86+S101+S107</f>
        <v>13503</v>
      </c>
      <c r="T11" s="1">
        <v>36633</v>
      </c>
      <c r="U11" s="1">
        <f>+U17+U23+U29+U35+U41+U56+U62+U68+U74+U80+U86+U101+U107</f>
        <v>8981</v>
      </c>
      <c r="V11" s="1">
        <v>13139</v>
      </c>
      <c r="W11" s="1">
        <f>+W17+W23+W29+W35+W41+W56+W62+W68+W74+W80+W86+W101+W107</f>
        <v>2160</v>
      </c>
      <c r="X11" s="1">
        <f>4092+25</f>
        <v>4117</v>
      </c>
      <c r="Y11" s="1">
        <f>+Y17+Y23+Y29+Y35+Y41+Y56+Y62+Y68+Y74+Y80+Y86+Y101+Y107</f>
        <v>19318</v>
      </c>
      <c r="Z11" s="1">
        <v>23948</v>
      </c>
      <c r="AA11" s="1">
        <f>+F11+H11+J11+L11+N11+P11+R11+T11+V11+X11+Z11</f>
        <v>176769</v>
      </c>
    </row>
    <row r="12" spans="1:27" ht="12.75">
      <c r="A12" s="1" t="s">
        <v>21</v>
      </c>
      <c r="B12" s="1"/>
      <c r="C12" s="11">
        <f>+D18+D24+D30+D36+D69+D81</f>
        <v>3435741196.250731</v>
      </c>
      <c r="D12" s="1">
        <f>+F12+H12+J12+L12+N12+P12+R12+T12+V12+X12+Z12</f>
        <v>5458232694</v>
      </c>
      <c r="E12" s="1">
        <f>+E18+E24+E30+E36+E42+E57+E63+E69+E75+E81+E87+E102+E108</f>
        <v>234818</v>
      </c>
      <c r="F12" s="1">
        <v>1610715</v>
      </c>
      <c r="G12" s="1">
        <f>+G18+G24+G30+G36+G42+G57+G63+G69+G75+G81+G87+G102+G108</f>
        <v>232338617</v>
      </c>
      <c r="H12" s="1">
        <v>497619885</v>
      </c>
      <c r="I12" s="1">
        <f>+I18+I24+I30+I36+I42+I57+I63+I69+I75+I81+I87+I102+I108</f>
        <v>649282951</v>
      </c>
      <c r="J12" s="1">
        <v>702029794</v>
      </c>
      <c r="K12" s="1">
        <f>+K18+K24+K30+K36+K42+K57+K63+K69+K75+K81+K87+K102+K108</f>
        <v>633860823</v>
      </c>
      <c r="L12" s="1">
        <v>790318160</v>
      </c>
      <c r="M12" s="1">
        <f>+M18+M24+M30+M36+M42+M57+M63+M69+M75+M81+M87+M102+M108</f>
        <v>317423876</v>
      </c>
      <c r="N12" s="1">
        <v>444998734</v>
      </c>
      <c r="O12" s="1">
        <f>+O18+O24+O30+O36+O42+O57+O63+O69+O75+O81+O87+O102+O108</f>
        <v>147273916</v>
      </c>
      <c r="P12" s="1">
        <v>234111214</v>
      </c>
      <c r="Q12" s="1">
        <f>+Q18+Q24+Q30+Q36+Q42+Q57+Q63+Q69+Q75+Q81+Q87+Q102+Q108</f>
        <v>485587248</v>
      </c>
      <c r="R12" s="1">
        <v>795188254</v>
      </c>
      <c r="S12" s="1">
        <f>+S18+S24+S30+S36+S42+S57+S63+S69+S75+S81+S87+S102+S108</f>
        <v>482088702</v>
      </c>
      <c r="T12" s="1">
        <v>1042810015</v>
      </c>
      <c r="U12" s="1">
        <f>+U18+U24+U30+U36+U42+U57+U63+U69+U75+U81+U87+U102+U108</f>
        <v>104901004</v>
      </c>
      <c r="V12" s="1">
        <v>153090642</v>
      </c>
      <c r="W12" s="1">
        <f>+W18+W24+W30+W36+W42+W57+W63+W69+W75+W81+W87+W102+W108</f>
        <v>48107709</v>
      </c>
      <c r="X12" s="1">
        <f>89495717+643697</f>
        <v>90139414</v>
      </c>
      <c r="Y12" s="1">
        <f>+Y18+Y24+Y30+Y36+Y42+Y57+Y63+Y69+Y75+Y81+Y87+Y102+Y108</f>
        <v>567644850</v>
      </c>
      <c r="Z12" s="1">
        <v>706315867</v>
      </c>
      <c r="AA12" s="1">
        <f>+F12+H12+J12+L12+N12+P12+R12+T12+V12+X12+Z12</f>
        <v>5458232694</v>
      </c>
    </row>
    <row r="13" spans="1:27" ht="12.75">
      <c r="A13" s="1" t="s">
        <v>23</v>
      </c>
      <c r="B13" s="1"/>
      <c r="C13" s="11">
        <f aca="true" t="shared" si="0" ref="C13:AA13">C12/(C11*12)</f>
        <v>2638.799620082823</v>
      </c>
      <c r="D13" s="1">
        <f>D12/(D11*12)</f>
        <v>2573.147579609547</v>
      </c>
      <c r="E13" s="17"/>
      <c r="F13" s="1">
        <f>F12/(F11*12)</f>
        <v>2796.3802083333335</v>
      </c>
      <c r="G13" s="11"/>
      <c r="H13" s="1">
        <f t="shared" si="0"/>
        <v>2673.650789813024</v>
      </c>
      <c r="I13" s="11"/>
      <c r="J13" s="1">
        <f t="shared" si="0"/>
        <v>3194.238756938757</v>
      </c>
      <c r="K13" s="11"/>
      <c r="L13" s="1">
        <f t="shared" si="0"/>
        <v>2287.9918939262348</v>
      </c>
      <c r="M13" s="11"/>
      <c r="N13" s="1">
        <f t="shared" si="0"/>
        <v>4579.872524803425</v>
      </c>
      <c r="O13" s="11"/>
      <c r="P13" s="1">
        <f t="shared" si="0"/>
        <v>3089.3535761414623</v>
      </c>
      <c r="Q13" s="11"/>
      <c r="R13" s="1">
        <f t="shared" si="0"/>
        <v>3031.0899201049006</v>
      </c>
      <c r="S13" s="11"/>
      <c r="T13" s="1">
        <f t="shared" si="0"/>
        <v>2372.2008730743682</v>
      </c>
      <c r="U13" s="11"/>
      <c r="V13" s="1">
        <f t="shared" si="0"/>
        <v>970.9683765887814</v>
      </c>
      <c r="W13" s="11"/>
      <c r="X13" s="1">
        <f t="shared" si="0"/>
        <v>1824.5367581572343</v>
      </c>
      <c r="Y13" s="11"/>
      <c r="Z13" s="1">
        <f t="shared" si="0"/>
        <v>2457.8109062691387</v>
      </c>
      <c r="AA13" s="1">
        <f t="shared" si="0"/>
        <v>2573.147579609547</v>
      </c>
    </row>
    <row r="14" spans="1:26" ht="12.75">
      <c r="A14" s="1"/>
      <c r="B14" s="1"/>
      <c r="C14" s="11"/>
      <c r="D14" s="1"/>
      <c r="E14" s="17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 t="s">
        <v>29</v>
      </c>
      <c r="B15" s="1"/>
      <c r="C15" s="11"/>
      <c r="D15" s="1"/>
      <c r="E15" s="17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7" ht="12.75">
      <c r="A16" s="1" t="s">
        <v>18</v>
      </c>
      <c r="B16" s="1"/>
      <c r="C16" s="11">
        <f aca="true" t="shared" si="1" ref="C16:D18">+E16+G16+I16+K16+M16+O16+Q16+S16+U16+W16+Y16</f>
        <v>21</v>
      </c>
      <c r="D16" s="1">
        <f t="shared" si="1"/>
        <v>49.87479831614785</v>
      </c>
      <c r="E16" s="17">
        <v>0</v>
      </c>
      <c r="F16" s="1">
        <f>+F$115*E16</f>
        <v>0</v>
      </c>
      <c r="G16" s="11">
        <v>4</v>
      </c>
      <c r="H16" s="1">
        <f>+H$115*G16</f>
        <v>12.219101123595506</v>
      </c>
      <c r="I16" s="11">
        <v>0</v>
      </c>
      <c r="J16" s="1">
        <f>+J$115*I16</f>
        <v>0</v>
      </c>
      <c r="K16" s="11">
        <v>4</v>
      </c>
      <c r="L16" s="1">
        <f>+L$115*K16</f>
        <v>7.9021739130434785</v>
      </c>
      <c r="M16" s="11">
        <v>0</v>
      </c>
      <c r="N16" s="1">
        <f>+N$115*M16</f>
        <v>0</v>
      </c>
      <c r="O16" s="11">
        <v>1</v>
      </c>
      <c r="P16" s="1">
        <f>+P$115*O16</f>
        <v>2.5361344537815125</v>
      </c>
      <c r="Q16" s="11">
        <v>4</v>
      </c>
      <c r="R16" s="1">
        <f>+R$115*Q16</f>
        <v>12.005215123859191</v>
      </c>
      <c r="S16" s="11">
        <v>4</v>
      </c>
      <c r="T16" s="1">
        <f>+T$115*S16</f>
        <v>8.773480662983426</v>
      </c>
      <c r="U16" s="11">
        <v>1</v>
      </c>
      <c r="V16" s="1">
        <f>+V$115*U16</f>
        <v>1.889763779527559</v>
      </c>
      <c r="W16" s="11">
        <v>1</v>
      </c>
      <c r="X16" s="1">
        <f>+X$115*W16</f>
        <v>2.018808777429467</v>
      </c>
      <c r="Y16" s="11">
        <v>2</v>
      </c>
      <c r="Z16" s="1">
        <f>+Z$115*Y16</f>
        <v>2.5301204819277108</v>
      </c>
      <c r="AA16">
        <f>+F16+H16+J16+L16+N16+P16+R16+T16+V16+X16+Z16</f>
        <v>49.87479831614785</v>
      </c>
    </row>
    <row r="17" spans="1:27" ht="12.75">
      <c r="A17" s="1" t="s">
        <v>20</v>
      </c>
      <c r="B17" s="1"/>
      <c r="C17" s="11">
        <f t="shared" si="1"/>
        <v>391</v>
      </c>
      <c r="D17" s="1">
        <f t="shared" si="1"/>
        <v>736.5201211276808</v>
      </c>
      <c r="E17" s="17">
        <v>0</v>
      </c>
      <c r="F17" s="1">
        <f>+F$116*E17</f>
        <v>0</v>
      </c>
      <c r="G17" s="11">
        <v>23</v>
      </c>
      <c r="H17" s="1">
        <f>+H$116*G17</f>
        <v>50.32162505289885</v>
      </c>
      <c r="I17" s="11">
        <v>0</v>
      </c>
      <c r="J17" s="1">
        <f>+J$116*I17</f>
        <v>0</v>
      </c>
      <c r="K17" s="11">
        <v>38</v>
      </c>
      <c r="L17" s="1">
        <f>+L$116*K17</f>
        <v>48.45100992204111</v>
      </c>
      <c r="M17" s="11">
        <v>0</v>
      </c>
      <c r="N17" s="1">
        <f>+N$116*M17</f>
        <v>0</v>
      </c>
      <c r="O17" s="11">
        <v>8</v>
      </c>
      <c r="P17" s="1">
        <f>+P$116*O17</f>
        <v>12.917412426489388</v>
      </c>
      <c r="Q17" s="11">
        <v>26</v>
      </c>
      <c r="R17" s="1">
        <f>+R$116*Q17</f>
        <v>40.05157835400226</v>
      </c>
      <c r="S17" s="11">
        <v>140</v>
      </c>
      <c r="T17" s="1">
        <f>+T$116*S17</f>
        <v>379.81337480559876</v>
      </c>
      <c r="U17" s="11">
        <v>22</v>
      </c>
      <c r="V17" s="1">
        <f>+V$116*U17</f>
        <v>32.185502727981294</v>
      </c>
      <c r="W17" s="11">
        <v>10</v>
      </c>
      <c r="X17" s="1">
        <f>+X$116*W17</f>
        <v>19.060185185185187</v>
      </c>
      <c r="Y17" s="11">
        <v>124</v>
      </c>
      <c r="Z17" s="1">
        <f>+Z$116*Y17</f>
        <v>153.7194326534838</v>
      </c>
      <c r="AA17">
        <f>+F17+H17+J17+L17+N17+P17+R17+T17+V17+X17+Z17</f>
        <v>736.5201211276808</v>
      </c>
    </row>
    <row r="18" spans="1:27" ht="12.75">
      <c r="A18" s="1" t="s">
        <v>21</v>
      </c>
      <c r="B18" s="1"/>
      <c r="C18" s="11">
        <f t="shared" si="1"/>
        <v>9848094</v>
      </c>
      <c r="D18" s="1">
        <f t="shared" si="1"/>
        <v>16443457.061563037</v>
      </c>
      <c r="E18" s="17">
        <v>0</v>
      </c>
      <c r="F18" s="1">
        <f>+F$117*E18</f>
        <v>0</v>
      </c>
      <c r="G18" s="11">
        <v>637264</v>
      </c>
      <c r="H18" s="1">
        <f>+H$117*G18</f>
        <v>1364883.9030260735</v>
      </c>
      <c r="I18" s="11">
        <v>0</v>
      </c>
      <c r="J18" s="1">
        <f>+J$117*I18</f>
        <v>0</v>
      </c>
      <c r="K18" s="11">
        <v>1032104</v>
      </c>
      <c r="L18" s="1">
        <f>+L$117*K18</f>
        <v>1286860.623990071</v>
      </c>
      <c r="M18" s="11">
        <v>0</v>
      </c>
      <c r="N18" s="1">
        <f>+N$117*M18</f>
        <v>0</v>
      </c>
      <c r="O18" s="11">
        <v>460788</v>
      </c>
      <c r="P18" s="1">
        <f>+P$117*O18</f>
        <v>732482.9882070359</v>
      </c>
      <c r="Q18" s="11">
        <v>692509</v>
      </c>
      <c r="R18" s="1">
        <f>+R$117*Q18</f>
        <v>1134039.299543727</v>
      </c>
      <c r="S18" s="11">
        <v>3196606</v>
      </c>
      <c r="T18" s="1">
        <f>+T$117*S18</f>
        <v>6914604.588284025</v>
      </c>
      <c r="U18" s="11">
        <v>263335</v>
      </c>
      <c r="V18" s="1">
        <f>+V$117*U18</f>
        <v>384306.37147257425</v>
      </c>
      <c r="W18" s="11">
        <v>301508</v>
      </c>
      <c r="X18" s="1">
        <f>+X$117*W18</f>
        <v>564935.5373857442</v>
      </c>
      <c r="Y18" s="11">
        <v>3263980</v>
      </c>
      <c r="Z18" s="1">
        <f>+Z$117*Y18</f>
        <v>4061343.749653784</v>
      </c>
      <c r="AA18">
        <f>+F18+H18+J18+L18+N18+P18+R18+T18+V18+X18+Z18</f>
        <v>16443457.061563037</v>
      </c>
    </row>
    <row r="19" spans="1:26" ht="12.75">
      <c r="A19" s="1" t="s">
        <v>23</v>
      </c>
      <c r="B19" s="1"/>
      <c r="C19" s="11">
        <f>C18/(C17*12)</f>
        <v>2098.9117647058824</v>
      </c>
      <c r="D19" s="1">
        <f>D18/(D17*12)</f>
        <v>1860.4896854216936</v>
      </c>
      <c r="E19" s="17">
        <v>0</v>
      </c>
      <c r="F19" s="1">
        <v>0</v>
      </c>
      <c r="G19" s="11"/>
      <c r="H19" s="1">
        <f aca="true" t="shared" si="2" ref="H19:Z19">H18/(H17*12)</f>
        <v>2260.267333032414</v>
      </c>
      <c r="I19" s="11"/>
      <c r="J19" s="1" t="e">
        <f t="shared" si="2"/>
        <v>#DIV/0!</v>
      </c>
      <c r="K19" s="11"/>
      <c r="L19" s="1">
        <f t="shared" si="2"/>
        <v>2213.3364300363437</v>
      </c>
      <c r="M19" s="11"/>
      <c r="N19" s="1" t="e">
        <f t="shared" si="2"/>
        <v>#DIV/0!</v>
      </c>
      <c r="O19" s="11"/>
      <c r="P19" s="1">
        <f t="shared" si="2"/>
        <v>4725.423869882749</v>
      </c>
      <c r="Q19" s="11"/>
      <c r="R19" s="1">
        <f t="shared" si="2"/>
        <v>2359.5393451587597</v>
      </c>
      <c r="S19" s="11"/>
      <c r="T19" s="1">
        <f t="shared" si="2"/>
        <v>1517.1057346745517</v>
      </c>
      <c r="U19" s="11"/>
      <c r="V19" s="1">
        <f t="shared" si="2"/>
        <v>995.0296947888166</v>
      </c>
      <c r="W19" s="11"/>
      <c r="X19" s="1">
        <f t="shared" si="2"/>
        <v>2469.963486262666</v>
      </c>
      <c r="Y19" s="11"/>
      <c r="Z19" s="1">
        <f t="shared" si="2"/>
        <v>2201.7080510183523</v>
      </c>
    </row>
    <row r="20" spans="1:26" ht="12.75">
      <c r="A20" s="1"/>
      <c r="B20" s="1"/>
      <c r="C20" s="11"/>
      <c r="D20" s="1"/>
      <c r="E20" s="17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 t="s">
        <v>40</v>
      </c>
      <c r="B21" s="1"/>
      <c r="C21" s="11"/>
      <c r="D21" s="1"/>
      <c r="E21" s="17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7" ht="12.75">
      <c r="A22" s="1" t="s">
        <v>18</v>
      </c>
      <c r="B22" s="1"/>
      <c r="C22" s="11">
        <f aca="true" t="shared" si="3" ref="C22:D24">+E22+G22+I22+K22+M22+O22+Q22+S22+U22+W22+Y22</f>
        <v>366</v>
      </c>
      <c r="D22" s="1">
        <f t="shared" si="3"/>
        <v>810.1034858747671</v>
      </c>
      <c r="E22" s="17">
        <v>0</v>
      </c>
      <c r="F22" s="1">
        <f>+F$115*E22</f>
        <v>0</v>
      </c>
      <c r="G22" s="11">
        <v>55</v>
      </c>
      <c r="H22" s="1">
        <f>+H$115*G22</f>
        <v>168.0126404494382</v>
      </c>
      <c r="I22" s="11">
        <v>43</v>
      </c>
      <c r="J22" s="1">
        <f>+J$115*I22</f>
        <v>74.304</v>
      </c>
      <c r="K22" s="11">
        <v>77</v>
      </c>
      <c r="L22" s="1">
        <f>+L$115*K22</f>
        <v>152.11684782608697</v>
      </c>
      <c r="M22" s="11">
        <v>5</v>
      </c>
      <c r="N22" s="1">
        <f>+N$115*M22</f>
        <v>14.090909090909092</v>
      </c>
      <c r="O22" s="11">
        <v>29</v>
      </c>
      <c r="P22" s="1">
        <f>+P$115*O22</f>
        <v>73.54789915966386</v>
      </c>
      <c r="Q22" s="11">
        <v>41</v>
      </c>
      <c r="R22" s="1">
        <f>+R$115*Q22</f>
        <v>123.05345501955671</v>
      </c>
      <c r="S22" s="11">
        <v>26</v>
      </c>
      <c r="T22" s="1">
        <f>+T$115*S22</f>
        <v>57.027624309392266</v>
      </c>
      <c r="U22" s="11">
        <v>22</v>
      </c>
      <c r="V22" s="1">
        <f>+V$115*U22</f>
        <v>41.574803149606296</v>
      </c>
      <c r="W22" s="11">
        <v>27</v>
      </c>
      <c r="X22" s="1">
        <f>+X$115*W22</f>
        <v>54.50783699059561</v>
      </c>
      <c r="Y22" s="11">
        <v>41</v>
      </c>
      <c r="Z22" s="1">
        <f>+Z$115*Y22</f>
        <v>51.86746987951807</v>
      </c>
      <c r="AA22">
        <f>+F22+H22+J22+L22+N22+P22+R22+T22+V22+X22+Z22</f>
        <v>810.1034858747671</v>
      </c>
    </row>
    <row r="23" spans="1:27" ht="12.75">
      <c r="A23" s="1" t="s">
        <v>20</v>
      </c>
      <c r="B23" s="1"/>
      <c r="C23" s="11">
        <f t="shared" si="3"/>
        <v>8960</v>
      </c>
      <c r="D23" s="1">
        <f t="shared" si="3"/>
        <v>12261.094310800598</v>
      </c>
      <c r="E23" s="17">
        <v>0</v>
      </c>
      <c r="F23" s="1">
        <f>+F$116*E23</f>
        <v>0</v>
      </c>
      <c r="G23" s="11">
        <v>721</v>
      </c>
      <c r="H23" s="1">
        <f>+H$116*G23</f>
        <v>1577.4735505713074</v>
      </c>
      <c r="I23" s="11">
        <v>3038</v>
      </c>
      <c r="J23" s="1">
        <f>+J$116*I23</f>
        <v>3112.9556898288015</v>
      </c>
      <c r="K23" s="11">
        <v>1337</v>
      </c>
      <c r="L23" s="1">
        <f>+L$116*K23</f>
        <v>1704.7105333097095</v>
      </c>
      <c r="M23" s="11">
        <v>211</v>
      </c>
      <c r="N23" s="1">
        <f>+N$116*M23</f>
        <v>312.16279919605336</v>
      </c>
      <c r="O23" s="11">
        <v>139</v>
      </c>
      <c r="P23" s="1">
        <f>+P$116*O23</f>
        <v>224.44004091025312</v>
      </c>
      <c r="Q23" s="11">
        <v>937</v>
      </c>
      <c r="R23" s="1">
        <f>+R$116*Q23</f>
        <v>1443.397266065389</v>
      </c>
      <c r="S23" s="11">
        <v>324</v>
      </c>
      <c r="T23" s="1">
        <f>+T$116*S23</f>
        <v>878.9966674072427</v>
      </c>
      <c r="U23" s="11">
        <v>439</v>
      </c>
      <c r="V23" s="1">
        <f>+V$116*U23</f>
        <v>642.2470771628994</v>
      </c>
      <c r="W23" s="11">
        <v>174</v>
      </c>
      <c r="X23" s="1">
        <f>+X$116*W23</f>
        <v>331.64722222222224</v>
      </c>
      <c r="Y23" s="11">
        <v>1640</v>
      </c>
      <c r="Z23" s="1">
        <f>+Z$116*Y23</f>
        <v>2033.063464126721</v>
      </c>
      <c r="AA23">
        <f>+F23+H23+J23+L23+N23+P23+R23+T23+V23+X23+Z23</f>
        <v>12261.094310800598</v>
      </c>
    </row>
    <row r="24" spans="1:27" ht="12.75">
      <c r="A24" s="1" t="s">
        <v>21</v>
      </c>
      <c r="B24" s="1"/>
      <c r="C24" s="11">
        <f t="shared" si="3"/>
        <v>303199875</v>
      </c>
      <c r="D24" s="1">
        <f t="shared" si="3"/>
        <v>408085212.5766931</v>
      </c>
      <c r="E24" s="17">
        <v>0</v>
      </c>
      <c r="F24" s="1">
        <f>+F$117*E24</f>
        <v>0</v>
      </c>
      <c r="G24" s="11">
        <v>28759924</v>
      </c>
      <c r="H24" s="1">
        <f>+H$117*G24</f>
        <v>61597638.215642564</v>
      </c>
      <c r="I24" s="11">
        <v>124666113</v>
      </c>
      <c r="J24" s="1">
        <f>+J$117*I24</f>
        <v>134793814.45851445</v>
      </c>
      <c r="K24" s="11">
        <v>31641457</v>
      </c>
      <c r="L24" s="1">
        <f>+L$117*K24</f>
        <v>39451591.214620814</v>
      </c>
      <c r="M24" s="11">
        <v>10596981</v>
      </c>
      <c r="N24" s="1">
        <f>+N$117*M24</f>
        <v>14855981.184043176</v>
      </c>
      <c r="O24" s="11">
        <v>3352912</v>
      </c>
      <c r="P24" s="1">
        <f>+P$117*O24</f>
        <v>5329893.575690403</v>
      </c>
      <c r="Q24" s="11">
        <v>32763095</v>
      </c>
      <c r="R24" s="1">
        <f>+R$117*Q24</f>
        <v>53652208.57011906</v>
      </c>
      <c r="S24" s="11">
        <v>6594184</v>
      </c>
      <c r="T24" s="1">
        <f>+T$117*S24</f>
        <v>14263933.35380998</v>
      </c>
      <c r="U24" s="11">
        <v>4725356</v>
      </c>
      <c r="V24" s="1">
        <f>+V$117*U24</f>
        <v>6896099.714341647</v>
      </c>
      <c r="W24" s="11">
        <v>3912079</v>
      </c>
      <c r="X24" s="1">
        <f>+X$117*W24</f>
        <v>7330062.393569937</v>
      </c>
      <c r="Y24" s="11">
        <v>56187774</v>
      </c>
      <c r="Z24" s="1">
        <f>+Z$117*Y24</f>
        <v>69913989.8963411</v>
      </c>
      <c r="AA24">
        <f>+F24+H24+J24+L24+N24+P24+R24+T24+V24+X24+Z24</f>
        <v>408085212.5766931</v>
      </c>
    </row>
    <row r="25" spans="1:26" ht="12.75">
      <c r="A25" s="1" t="s">
        <v>23</v>
      </c>
      <c r="B25" s="1"/>
      <c r="C25" s="11">
        <f>C24/(C23*12)</f>
        <v>2819.9393136160716</v>
      </c>
      <c r="D25" s="1">
        <f>D24/(D23*12)</f>
        <v>2773.577968330401</v>
      </c>
      <c r="E25" s="17"/>
      <c r="F25" s="1">
        <v>0</v>
      </c>
      <c r="G25" s="11"/>
      <c r="H25" s="1">
        <f>H24/(H23*12)</f>
        <v>3254.0238256997495</v>
      </c>
      <c r="I25" s="11"/>
      <c r="J25" s="1">
        <f>J24/(J23*12)</f>
        <v>3608.409174677531</v>
      </c>
      <c r="K25" s="11"/>
      <c r="L25" s="1">
        <f>L24/(L23*12)</f>
        <v>1928.5576858819752</v>
      </c>
      <c r="M25" s="11"/>
      <c r="N25" s="1">
        <f>N24/(N23*12)</f>
        <v>3965.8743296509047</v>
      </c>
      <c r="O25" s="11"/>
      <c r="P25" s="1">
        <f>P24/(P23*12)</f>
        <v>1978.959708672508</v>
      </c>
      <c r="Q25" s="11"/>
      <c r="R25" s="1">
        <f>R24/(R23*12)</f>
        <v>3097.565366069294</v>
      </c>
      <c r="S25" s="11"/>
      <c r="T25" s="1">
        <f>T24/(T23*12)</f>
        <v>1352.2930824341647</v>
      </c>
      <c r="U25" s="11"/>
      <c r="V25" s="1">
        <f>V24/(V23*12)</f>
        <v>894.78799768734</v>
      </c>
      <c r="W25" s="11"/>
      <c r="X25" s="1">
        <f>X24/(X23*12)</f>
        <v>1841.8321996021382</v>
      </c>
      <c r="Y25" s="11"/>
      <c r="Z25" s="1">
        <f>Z24/(Z23*12)</f>
        <v>2865.7077988451547</v>
      </c>
    </row>
    <row r="26" spans="1:26" ht="12.75">
      <c r="A26" s="1"/>
      <c r="B26" s="1"/>
      <c r="C26" s="11"/>
      <c r="D26" s="1"/>
      <c r="E26" s="17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 t="s">
        <v>49</v>
      </c>
      <c r="B27" s="1"/>
      <c r="C27" s="11"/>
      <c r="D27" s="1"/>
      <c r="E27" s="17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7" ht="12.75">
      <c r="A28" s="1" t="s">
        <v>18</v>
      </c>
      <c r="B28" s="1"/>
      <c r="C28" s="11">
        <f aca="true" t="shared" si="4" ref="C28:D30">+E28+G28+I28+K28+M28+O28+Q28+S28+U28+W28+Y28</f>
        <v>349</v>
      </c>
      <c r="D28" s="1">
        <f t="shared" si="4"/>
        <v>756.8679792087844</v>
      </c>
      <c r="E28" s="17">
        <v>0</v>
      </c>
      <c r="F28" s="1">
        <f>+F$115*E28</f>
        <v>0</v>
      </c>
      <c r="G28" s="11">
        <v>35</v>
      </c>
      <c r="H28" s="1">
        <f>+H$115*G28</f>
        <v>106.91713483146067</v>
      </c>
      <c r="I28" s="11">
        <v>37</v>
      </c>
      <c r="J28" s="1">
        <f>+J$115*I28</f>
        <v>63.936</v>
      </c>
      <c r="K28" s="11">
        <v>104</v>
      </c>
      <c r="L28" s="1">
        <f>+L$115*K28</f>
        <v>205.45652173913044</v>
      </c>
      <c r="M28" s="15">
        <v>11</v>
      </c>
      <c r="N28" s="1">
        <f>+N$115*M28</f>
        <v>31</v>
      </c>
      <c r="O28" s="11">
        <v>25</v>
      </c>
      <c r="P28" s="1">
        <f>+P$115*O28</f>
        <v>63.403361344537814</v>
      </c>
      <c r="Q28" s="11">
        <v>32</v>
      </c>
      <c r="R28" s="1">
        <f>+R$115*Q28</f>
        <v>96.04172099087353</v>
      </c>
      <c r="S28" s="11">
        <v>25</v>
      </c>
      <c r="T28" s="1">
        <f>+T$115*S28</f>
        <v>54.83425414364641</v>
      </c>
      <c r="U28" s="11">
        <v>28</v>
      </c>
      <c r="V28" s="1">
        <f>+V$115*U28</f>
        <v>52.91338582677165</v>
      </c>
      <c r="W28" s="11">
        <v>22</v>
      </c>
      <c r="X28" s="1">
        <f>+X$115*W28</f>
        <v>44.41379310344827</v>
      </c>
      <c r="Y28" s="11">
        <v>30</v>
      </c>
      <c r="Z28" s="1">
        <f>+Z$115*Y28</f>
        <v>37.95180722891566</v>
      </c>
      <c r="AA28">
        <f>+F28+H28+J28+L28+N28+P28+R28+T28+V28+X28+Z28</f>
        <v>756.8679792087844</v>
      </c>
    </row>
    <row r="29" spans="1:27" ht="12.75">
      <c r="A29" s="1" t="s">
        <v>20</v>
      </c>
      <c r="B29" s="1"/>
      <c r="C29" s="11">
        <f t="shared" si="4"/>
        <v>11642</v>
      </c>
      <c r="D29" s="1">
        <f t="shared" si="4"/>
        <v>16064.418918858353</v>
      </c>
      <c r="E29" s="17">
        <v>0</v>
      </c>
      <c r="F29" s="1">
        <f>+F$116*E29</f>
        <v>0</v>
      </c>
      <c r="G29" s="11">
        <v>721</v>
      </c>
      <c r="H29" s="1">
        <f>+H$116*G29</f>
        <v>1577.4735505713074</v>
      </c>
      <c r="I29" s="11">
        <v>2870</v>
      </c>
      <c r="J29" s="1">
        <f>+J$116*I29</f>
        <v>2940.8106747230613</v>
      </c>
      <c r="K29" s="11">
        <v>2028</v>
      </c>
      <c r="L29" s="1">
        <f>+L$116*K29</f>
        <v>2585.7538979447204</v>
      </c>
      <c r="M29" s="15">
        <v>1779</v>
      </c>
      <c r="N29" s="1">
        <f>+N$116*M29</f>
        <v>2631.9318472501373</v>
      </c>
      <c r="O29" s="11">
        <v>184</v>
      </c>
      <c r="P29" s="1">
        <f>+P$116*O29</f>
        <v>297.10048580925593</v>
      </c>
      <c r="Q29" s="11">
        <v>706</v>
      </c>
      <c r="R29" s="1">
        <f>+R$116*Q29</f>
        <v>1087.5543968432921</v>
      </c>
      <c r="S29" s="11">
        <v>353</v>
      </c>
      <c r="T29" s="1">
        <f>+T$116*S29</f>
        <v>957.6722950455454</v>
      </c>
      <c r="U29" s="11">
        <v>740</v>
      </c>
      <c r="V29" s="1">
        <f>+V$116*U29</f>
        <v>1082.6032735775525</v>
      </c>
      <c r="W29" s="11">
        <v>151</v>
      </c>
      <c r="X29" s="1">
        <f>+X$116*W29</f>
        <v>287.8087962962963</v>
      </c>
      <c r="Y29" s="11">
        <v>2110</v>
      </c>
      <c r="Z29" s="1">
        <f>+Z$116*Y29</f>
        <v>2615.709700797184</v>
      </c>
      <c r="AA29">
        <f>+F29+H29+J29+L29+N29+P29+R29+T29+V29+X29+Z29</f>
        <v>16064.418918858353</v>
      </c>
    </row>
    <row r="30" spans="1:27" ht="12.75">
      <c r="A30" s="1" t="s">
        <v>21</v>
      </c>
      <c r="B30" s="1"/>
      <c r="C30" s="11">
        <f t="shared" si="4"/>
        <v>457055561</v>
      </c>
      <c r="D30" s="1">
        <f t="shared" si="4"/>
        <v>627616926.7609715</v>
      </c>
      <c r="E30" s="17">
        <v>0</v>
      </c>
      <c r="F30" s="1">
        <f>+F$117*E30</f>
        <v>0</v>
      </c>
      <c r="G30" s="11">
        <v>29954413</v>
      </c>
      <c r="H30" s="1">
        <f>+H$117*G30</f>
        <v>64155979.51287842</v>
      </c>
      <c r="I30" s="11">
        <v>108669824</v>
      </c>
      <c r="J30" s="1">
        <f>+J$117*I30</f>
        <v>117498009.21037316</v>
      </c>
      <c r="K30" s="11">
        <v>53491252</v>
      </c>
      <c r="L30" s="1">
        <f>+L$117*K30</f>
        <v>66694621.7888218</v>
      </c>
      <c r="M30" s="15">
        <v>140607609</v>
      </c>
      <c r="N30" s="1">
        <f>+N$117*M30</f>
        <v>197118782.56998855</v>
      </c>
      <c r="O30" s="11">
        <v>6747512</v>
      </c>
      <c r="P30" s="1">
        <f>+P$117*O30</f>
        <v>10726055.697463548</v>
      </c>
      <c r="Q30" s="11">
        <v>29709265</v>
      </c>
      <c r="R30" s="1">
        <f>+R$117*Q30</f>
        <v>48651315.82486142</v>
      </c>
      <c r="S30" s="11">
        <v>10269988</v>
      </c>
      <c r="T30" s="1">
        <f>+T$117*S30</f>
        <v>22215095.055950556</v>
      </c>
      <c r="U30" s="11">
        <v>8500353</v>
      </c>
      <c r="V30" s="1">
        <f>+V$117*U30</f>
        <v>12405262.565424312</v>
      </c>
      <c r="W30" s="11">
        <v>3439082</v>
      </c>
      <c r="X30" s="1">
        <f>+X$117*W30</f>
        <v>6443807.918143597</v>
      </c>
      <c r="Y30" s="11">
        <v>65666263</v>
      </c>
      <c r="Z30" s="1">
        <f>+Z$117*Y30</f>
        <v>81707996.61706614</v>
      </c>
      <c r="AA30">
        <f>+F30+H30+J30+L30+N30+P30+R30+T30+V30+X30+Z30</f>
        <v>627616926.7609715</v>
      </c>
    </row>
    <row r="31" spans="1:26" ht="12.75">
      <c r="A31" s="1" t="s">
        <v>23</v>
      </c>
      <c r="B31" s="1"/>
      <c r="C31" s="11">
        <f>C30/(C29*12)</f>
        <v>3271.5996750272</v>
      </c>
      <c r="D31" s="1">
        <f>D30/(D29*12)</f>
        <v>3255.7299973058216</v>
      </c>
      <c r="E31" s="17"/>
      <c r="F31" s="2" t="s">
        <v>32</v>
      </c>
      <c r="G31" s="11"/>
      <c r="H31" s="1">
        <f>H30/(H29*12)</f>
        <v>3389.1735453421334</v>
      </c>
      <c r="I31" s="11"/>
      <c r="J31" s="1">
        <f>J30/(J29*12)</f>
        <v>3329.5243558829816</v>
      </c>
      <c r="K31" s="11"/>
      <c r="L31" s="1">
        <f>L30/(L29*12)</f>
        <v>2149.4254165047005</v>
      </c>
      <c r="M31" s="15"/>
      <c r="N31" s="1">
        <f>N30/(N29*12)</f>
        <v>6241.257816507792</v>
      </c>
      <c r="O31" s="11"/>
      <c r="P31" s="1">
        <f>P30/(P29*12)</f>
        <v>3008.5375739253745</v>
      </c>
      <c r="Q31" s="11"/>
      <c r="R31" s="1">
        <f>R30/(R29*12)</f>
        <v>3727.883709087372</v>
      </c>
      <c r="S31" s="11"/>
      <c r="T31" s="1">
        <f>T30/(T29*12)</f>
        <v>1933.0807948674867</v>
      </c>
      <c r="U31" s="11"/>
      <c r="V31" s="1">
        <f>V30/(V29*12)</f>
        <v>954.8944712090523</v>
      </c>
      <c r="W31" s="11"/>
      <c r="X31" s="1">
        <f>X30/(X29*12)</f>
        <v>1865.7664396949615</v>
      </c>
      <c r="Y31" s="11"/>
      <c r="Z31" s="1">
        <f>Z30/(Z29*12)</f>
        <v>2603.1175080375633</v>
      </c>
    </row>
    <row r="32" spans="1:26" ht="12.75">
      <c r="A32" s="1"/>
      <c r="B32" s="1"/>
      <c r="C32" s="11"/>
      <c r="D32" s="1"/>
      <c r="E32" s="17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 t="s">
        <v>58</v>
      </c>
      <c r="B33" s="1"/>
      <c r="C33" s="11"/>
      <c r="D33" s="1"/>
      <c r="E33" s="17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7" ht="12.75">
      <c r="A34" s="1" t="s">
        <v>18</v>
      </c>
      <c r="B34" s="1"/>
      <c r="C34" s="11">
        <f aca="true" t="shared" si="5" ref="C34:D36">+E34+G34+I34+K34+M34+O34+Q34+S34+U34+W34+Y34</f>
        <v>2063</v>
      </c>
      <c r="D34" s="1">
        <f t="shared" si="5"/>
        <v>4838.503984965809</v>
      </c>
      <c r="E34" s="17">
        <v>0</v>
      </c>
      <c r="F34" s="1">
        <f>+F$115*E34</f>
        <v>0</v>
      </c>
      <c r="G34" s="11">
        <v>242</v>
      </c>
      <c r="H34" s="1">
        <f>+H$115*G34</f>
        <v>739.2556179775281</v>
      </c>
      <c r="I34" s="11">
        <v>129</v>
      </c>
      <c r="J34" s="1">
        <f>+J$115*I34</f>
        <v>222.912</v>
      </c>
      <c r="K34" s="11">
        <v>480</v>
      </c>
      <c r="L34" s="1">
        <f>+L$115*K34</f>
        <v>948.2608695652174</v>
      </c>
      <c r="M34" s="11">
        <v>75</v>
      </c>
      <c r="N34" s="1">
        <f>+N$115*M34</f>
        <v>211.36363636363637</v>
      </c>
      <c r="O34" s="11">
        <v>262</v>
      </c>
      <c r="P34" s="1">
        <f>+P$115*O34</f>
        <v>664.4672268907563</v>
      </c>
      <c r="Q34" s="11">
        <v>341</v>
      </c>
      <c r="R34" s="1">
        <f>+R$115*Q34</f>
        <v>1023.444589308996</v>
      </c>
      <c r="S34" s="11">
        <v>192</v>
      </c>
      <c r="T34" s="1">
        <f>+T$115*S34</f>
        <v>421.12707182320446</v>
      </c>
      <c r="U34" s="11">
        <v>139</v>
      </c>
      <c r="V34" s="1">
        <f>+V$115*U34</f>
        <v>262.6771653543307</v>
      </c>
      <c r="W34" s="11">
        <v>117</v>
      </c>
      <c r="X34" s="1">
        <f>+X$115*W34</f>
        <v>236.20062695924764</v>
      </c>
      <c r="Y34" s="11">
        <v>86</v>
      </c>
      <c r="Z34" s="1">
        <f>+Z$115*Y34</f>
        <v>108.79518072289156</v>
      </c>
      <c r="AA34">
        <f>+F34+H34+J34+L34+N34+P34+R34+T34+V34+X34+Z34</f>
        <v>4838.503984965809</v>
      </c>
    </row>
    <row r="35" spans="1:27" ht="12.75">
      <c r="A35" s="1" t="s">
        <v>20</v>
      </c>
      <c r="B35" s="1"/>
      <c r="C35" s="11">
        <f t="shared" si="5"/>
        <v>46502</v>
      </c>
      <c r="D35" s="1">
        <f t="shared" si="5"/>
        <v>71909.43371874647</v>
      </c>
      <c r="E35" s="17">
        <v>0</v>
      </c>
      <c r="F35" s="1">
        <f>+F$116*E35</f>
        <v>0</v>
      </c>
      <c r="G35" s="11">
        <v>3123</v>
      </c>
      <c r="H35" s="1">
        <f>+H$116*G35</f>
        <v>6832.801523487092</v>
      </c>
      <c r="I35" s="11">
        <v>5396</v>
      </c>
      <c r="J35" s="1">
        <f>+J$116*I35</f>
        <v>5529.13393756294</v>
      </c>
      <c r="K35" s="11">
        <v>9393</v>
      </c>
      <c r="L35" s="1">
        <f>+L$116*K35</f>
        <v>11976.324636782425</v>
      </c>
      <c r="M35" s="11">
        <v>2115</v>
      </c>
      <c r="N35" s="1">
        <f>+N$116*M35</f>
        <v>3129.025214690298</v>
      </c>
      <c r="O35" s="11">
        <v>1739</v>
      </c>
      <c r="P35" s="1">
        <f>+P$116*O35</f>
        <v>2807.922526208131</v>
      </c>
      <c r="Q35" s="11">
        <v>7099</v>
      </c>
      <c r="R35" s="1">
        <f>+R$116*Q35</f>
        <v>10935.621335963924</v>
      </c>
      <c r="S35" s="11">
        <v>5067</v>
      </c>
      <c r="T35" s="1">
        <f>+T$116*S35</f>
        <v>13746.531215285491</v>
      </c>
      <c r="U35" s="11">
        <v>3960</v>
      </c>
      <c r="V35" s="1">
        <f>+V$116*U35</f>
        <v>5793.390491036633</v>
      </c>
      <c r="W35" s="11">
        <v>728</v>
      </c>
      <c r="X35" s="1">
        <f>+X$116*W35</f>
        <v>1387.5814814814814</v>
      </c>
      <c r="Y35" s="11">
        <v>7882</v>
      </c>
      <c r="Z35" s="1">
        <f>+Z$116*Y35</f>
        <v>9771.101356248058</v>
      </c>
      <c r="AA35">
        <f>+F35+H35+J35+L35+N35+P35+R35+T35+V35+X35+Z35</f>
        <v>71909.43371874647</v>
      </c>
    </row>
    <row r="36" spans="1:27" ht="12.75">
      <c r="A36" s="1" t="s">
        <v>21</v>
      </c>
      <c r="B36" s="1"/>
      <c r="C36" s="11">
        <f t="shared" si="5"/>
        <v>1452112778</v>
      </c>
      <c r="D36" s="1">
        <f t="shared" si="5"/>
        <v>2191488510.8292704</v>
      </c>
      <c r="E36" s="17">
        <v>0</v>
      </c>
      <c r="F36" s="1">
        <f>+F$117*E36</f>
        <v>0</v>
      </c>
      <c r="G36" s="11">
        <v>102370715</v>
      </c>
      <c r="H36" s="1">
        <f>+H$117*G36</f>
        <v>219256291.0265915</v>
      </c>
      <c r="I36" s="11">
        <v>207413836</v>
      </c>
      <c r="J36" s="1">
        <f>+J$117*I36</f>
        <v>224263847.27269667</v>
      </c>
      <c r="K36" s="11">
        <v>226744204</v>
      </c>
      <c r="L36" s="1">
        <f>+L$117*K36</f>
        <v>282712001.7416578</v>
      </c>
      <c r="M36" s="11">
        <v>113678581</v>
      </c>
      <c r="N36" s="1">
        <f>+N$117*M36</f>
        <v>159366791.38754028</v>
      </c>
      <c r="O36" s="11">
        <v>70710810</v>
      </c>
      <c r="P36" s="1">
        <f>+P$117*O36</f>
        <v>112404110.80006415</v>
      </c>
      <c r="Q36" s="11">
        <v>277440303</v>
      </c>
      <c r="R36" s="1">
        <f>+R$117*Q36</f>
        <v>454330856.17561555</v>
      </c>
      <c r="S36" s="11">
        <v>167562060</v>
      </c>
      <c r="T36" s="1">
        <f>+T$117*S36</f>
        <v>362454862.71949786</v>
      </c>
      <c r="U36" s="11">
        <v>48249529</v>
      </c>
      <c r="V36" s="1">
        <f>+V$117*U36</f>
        <v>70414496.42186092</v>
      </c>
      <c r="W36" s="11">
        <v>16229594</v>
      </c>
      <c r="X36" s="1">
        <f>+X$117*W36</f>
        <v>30409390.15861088</v>
      </c>
      <c r="Y36" s="11">
        <v>221713146</v>
      </c>
      <c r="Z36" s="1">
        <f>+Z$117*Y36</f>
        <v>275875863.12513465</v>
      </c>
      <c r="AA36">
        <f>+F36+H36+J36+L36+N36+P36+R36+T36+V36+X36+Z36</f>
        <v>2191488510.8292704</v>
      </c>
    </row>
    <row r="37" spans="1:26" ht="12.75">
      <c r="A37" s="1" t="s">
        <v>23</v>
      </c>
      <c r="B37" s="1"/>
      <c r="C37" s="11">
        <f>C36/(C35*12)</f>
        <v>2602.240724413287</v>
      </c>
      <c r="D37" s="1">
        <f>D36/(D35*12)</f>
        <v>2539.639559440677</v>
      </c>
      <c r="E37" s="17"/>
      <c r="F37" s="1" t="e">
        <f>F36/(F35*12)</f>
        <v>#DIV/0!</v>
      </c>
      <c r="G37" s="11"/>
      <c r="H37" s="1">
        <f>H36/(H35*12)</f>
        <v>2674.0653189973796</v>
      </c>
      <c r="I37" s="11"/>
      <c r="J37" s="1">
        <f>J36/(J35*12)</f>
        <v>3380.032777362729</v>
      </c>
      <c r="K37" s="11"/>
      <c r="L37" s="1">
        <f>L36/(L35*12)</f>
        <v>1967.15888997486</v>
      </c>
      <c r="M37" s="11"/>
      <c r="N37" s="1">
        <f>N36/(N35*12)</f>
        <v>4244.314135473071</v>
      </c>
      <c r="O37" s="11"/>
      <c r="P37" s="1">
        <f>P36/(P35*12)</f>
        <v>3335.9215384008676</v>
      </c>
      <c r="Q37" s="11"/>
      <c r="R37" s="1">
        <f>R36/(R35*12)</f>
        <v>3462.1631014955065</v>
      </c>
      <c r="S37" s="11"/>
      <c r="T37" s="1">
        <f>T36/(T35*12)</f>
        <v>2197.250449604729</v>
      </c>
      <c r="U37" s="11"/>
      <c r="V37" s="1">
        <f>V36/(V35*12)</f>
        <v>1012.856756488338</v>
      </c>
      <c r="W37" s="11"/>
      <c r="X37" s="1">
        <f>X36/(X35*12)</f>
        <v>1826.2825501572008</v>
      </c>
      <c r="Y37" s="11"/>
      <c r="Z37" s="1">
        <f>Z36/(Z35*12)</f>
        <v>2352.8212861825778</v>
      </c>
    </row>
    <row r="38" spans="1:26" ht="12.75">
      <c r="A38" s="1"/>
      <c r="B38" s="1"/>
      <c r="C38" s="11"/>
      <c r="D38" s="1"/>
      <c r="E38" s="17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 t="s">
        <v>71</v>
      </c>
      <c r="B39" s="1"/>
      <c r="C39" s="11"/>
      <c r="D39" s="1"/>
      <c r="E39" s="17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7" ht="12.75">
      <c r="A40" s="1" t="s">
        <v>18</v>
      </c>
      <c r="B40" s="1"/>
      <c r="C40" s="11">
        <f aca="true" t="shared" si="6" ref="C40:D42">+E40+G40+I40+K40+M40+O40+Q40+S40+U40+W40+Y40</f>
        <v>960</v>
      </c>
      <c r="D40" s="1">
        <f t="shared" si="6"/>
        <v>2222.403811136618</v>
      </c>
      <c r="E40" s="17">
        <v>1</v>
      </c>
      <c r="F40" s="1">
        <f>+F$115*E40</f>
        <v>12</v>
      </c>
      <c r="G40" s="11">
        <v>57</v>
      </c>
      <c r="H40" s="1">
        <f>+H$115*G40</f>
        <v>174.12219101123594</v>
      </c>
      <c r="I40" s="11">
        <v>40</v>
      </c>
      <c r="J40" s="1">
        <f>+J$115*I40</f>
        <v>69.12</v>
      </c>
      <c r="K40" s="11">
        <v>157</v>
      </c>
      <c r="L40" s="1">
        <f>+L$115*K40</f>
        <v>310.16032608695656</v>
      </c>
      <c r="M40" s="11">
        <v>26</v>
      </c>
      <c r="N40" s="1">
        <f>+N$115*M40</f>
        <v>73.27272727272728</v>
      </c>
      <c r="O40" s="11">
        <v>139</v>
      </c>
      <c r="P40" s="1">
        <f>+P$115*O40</f>
        <v>352.52268907563024</v>
      </c>
      <c r="Q40" s="11">
        <v>156</v>
      </c>
      <c r="R40" s="1">
        <f>+R$115*Q40</f>
        <v>468.20338983050846</v>
      </c>
      <c r="S40" s="11">
        <v>178</v>
      </c>
      <c r="T40" s="1">
        <f>+T$115*S40</f>
        <v>390.41988950276243</v>
      </c>
      <c r="U40" s="11">
        <v>96</v>
      </c>
      <c r="V40" s="1">
        <f>+V$115*U40</f>
        <v>181.41732283464566</v>
      </c>
      <c r="W40" s="11">
        <f>68+1</f>
        <v>69</v>
      </c>
      <c r="X40" s="1">
        <f>+X$115*W40</f>
        <v>139.29780564263322</v>
      </c>
      <c r="Y40" s="11">
        <v>41</v>
      </c>
      <c r="Z40" s="1">
        <f>+Z$115*Y40</f>
        <v>51.86746987951807</v>
      </c>
      <c r="AA40">
        <f>+F40+H40+J40+L40+N40+P40+R40+T40+V40+X40+Z40</f>
        <v>2222.403811136618</v>
      </c>
    </row>
    <row r="41" spans="1:27" ht="12.75">
      <c r="A41" s="1" t="s">
        <v>20</v>
      </c>
      <c r="B41" s="1"/>
      <c r="C41" s="11">
        <f t="shared" si="6"/>
        <v>22296</v>
      </c>
      <c r="D41" s="1">
        <f t="shared" si="6"/>
        <v>39843.36466275708</v>
      </c>
      <c r="E41" s="17">
        <v>1</v>
      </c>
      <c r="F41" s="1">
        <f>+F$116*E41</f>
        <v>6.857142857142857</v>
      </c>
      <c r="G41" s="11">
        <v>431</v>
      </c>
      <c r="H41" s="1">
        <f>+H$116*G41</f>
        <v>942.9834955564959</v>
      </c>
      <c r="I41" s="11">
        <v>1064</v>
      </c>
      <c r="J41" s="1">
        <f>+J$116*I41</f>
        <v>1090.2517623363544</v>
      </c>
      <c r="K41" s="11">
        <v>4022</v>
      </c>
      <c r="L41" s="1">
        <f>+L$116*K41</f>
        <v>5128.156892274983</v>
      </c>
      <c r="M41" s="11">
        <v>1016</v>
      </c>
      <c r="N41" s="1">
        <f>+N$116*M41</f>
        <v>1503.1156586881052</v>
      </c>
      <c r="O41" s="11">
        <v>1093</v>
      </c>
      <c r="P41" s="1">
        <f>+P$116*O41</f>
        <v>1764.8414727691127</v>
      </c>
      <c r="Q41" s="11">
        <v>2986</v>
      </c>
      <c r="R41" s="1">
        <f>+R$116*Q41</f>
        <v>4599.769729425028</v>
      </c>
      <c r="S41" s="11">
        <v>6372</v>
      </c>
      <c r="T41" s="1">
        <f>+T$116*S41</f>
        <v>17286.93445900911</v>
      </c>
      <c r="U41" s="11">
        <v>2150</v>
      </c>
      <c r="V41" s="1">
        <f>+V$116*U41</f>
        <v>3145.401402961808</v>
      </c>
      <c r="W41" s="11">
        <f>684+1</f>
        <v>685</v>
      </c>
      <c r="X41" s="1">
        <f>+X$116*W41</f>
        <v>1305.6226851851852</v>
      </c>
      <c r="Y41" s="11">
        <v>2476</v>
      </c>
      <c r="Z41" s="1">
        <f>+Z$116*Y41</f>
        <v>3069.429961693757</v>
      </c>
      <c r="AA41">
        <f>+F41+H41+J41+L41+N41+P41+R41+T41+V41+X41+Z41</f>
        <v>39843.36466275708</v>
      </c>
    </row>
    <row r="42" spans="1:27" ht="12.75">
      <c r="A42" s="1" t="s">
        <v>21</v>
      </c>
      <c r="B42" s="1"/>
      <c r="C42" s="11">
        <f t="shared" si="6"/>
        <v>762408634</v>
      </c>
      <c r="D42" s="1">
        <f t="shared" si="6"/>
        <v>1263561724.9251578</v>
      </c>
      <c r="E42" s="17">
        <v>3507</v>
      </c>
      <c r="F42" s="1">
        <f>+F$117*E42</f>
        <v>24055.981675169707</v>
      </c>
      <c r="G42" s="11">
        <v>12834943</v>
      </c>
      <c r="H42" s="1">
        <f>+H$117*G42</f>
        <v>27489717.12972517</v>
      </c>
      <c r="I42" s="11">
        <v>40280938</v>
      </c>
      <c r="J42" s="1">
        <f>+J$117*I42</f>
        <v>43553305.32353186</v>
      </c>
      <c r="K42" s="11">
        <v>158557141</v>
      </c>
      <c r="L42" s="1">
        <f>+L$117*K42</f>
        <v>197694167.84097502</v>
      </c>
      <c r="M42" s="11">
        <v>41271516</v>
      </c>
      <c r="N42" s="1">
        <f>+N$117*M42</f>
        <v>57858824.615514256</v>
      </c>
      <c r="O42" s="11">
        <v>42759193</v>
      </c>
      <c r="P42" s="1">
        <f>+P$117*O42</f>
        <v>67971347.91262223</v>
      </c>
      <c r="Q42" s="11">
        <v>73156657</v>
      </c>
      <c r="R42" s="1">
        <f>+R$117*Q42</f>
        <v>119799921.8223022</v>
      </c>
      <c r="S42" s="11">
        <v>265178609</v>
      </c>
      <c r="T42" s="1">
        <f>+T$117*S42</f>
        <v>573610018.4089549</v>
      </c>
      <c r="U42" s="11">
        <v>27177303</v>
      </c>
      <c r="V42" s="1">
        <f>+V$117*U42</f>
        <v>39662068.09706536</v>
      </c>
      <c r="W42" s="11">
        <f>15858892+12946</f>
        <v>15871838</v>
      </c>
      <c r="X42" s="1">
        <f>+X$117*W42</f>
        <v>29739062.744038217</v>
      </c>
      <c r="Y42" s="11">
        <v>85316989</v>
      </c>
      <c r="Z42" s="1">
        <f>+Z$117*Y42</f>
        <v>106159235.04875357</v>
      </c>
      <c r="AA42">
        <f>+F42+H42+J42+L42+N42+P42+R42+T42+V42+X42+Z42</f>
        <v>1263561724.9251578</v>
      </c>
    </row>
    <row r="43" spans="1:26" ht="12.75">
      <c r="A43" s="1" t="s">
        <v>23</v>
      </c>
      <c r="B43" s="1"/>
      <c r="C43" s="11">
        <f>C42/(C41*12)</f>
        <v>2849.571799126899</v>
      </c>
      <c r="D43" s="1">
        <f>D42/(D41*12)</f>
        <v>2642.7690357399524</v>
      </c>
      <c r="E43" s="17"/>
      <c r="F43" s="2" t="s">
        <v>32</v>
      </c>
      <c r="G43" s="11"/>
      <c r="H43" s="1">
        <f>H42/(H41*12)</f>
        <v>2429.3211616164326</v>
      </c>
      <c r="I43" s="11"/>
      <c r="J43" s="1">
        <f>J42/(J41*12)</f>
        <v>3328.9944907005797</v>
      </c>
      <c r="K43" s="11"/>
      <c r="L43" s="1">
        <f>L42/(L41*12)</f>
        <v>3212.5604447798783</v>
      </c>
      <c r="M43" s="11"/>
      <c r="N43" s="1">
        <f>N42/(N41*12)</f>
        <v>3207.7163790361333</v>
      </c>
      <c r="O43" s="11"/>
      <c r="P43" s="1">
        <f>P42/(P41*12)</f>
        <v>3209.5114944409256</v>
      </c>
      <c r="Q43" s="11"/>
      <c r="R43" s="1">
        <f>R42/(R41*12)</f>
        <v>2170.3970863282975</v>
      </c>
      <c r="S43" s="11"/>
      <c r="T43" s="1">
        <f>T42/(T41*12)</f>
        <v>2765.14236695688</v>
      </c>
      <c r="U43" s="11"/>
      <c r="V43" s="1">
        <f>V42/(V41*12)</f>
        <v>1050.7950871738851</v>
      </c>
      <c r="W43" s="11"/>
      <c r="X43" s="1">
        <f>X42/(X41*12)</f>
        <v>1898.1404480715987</v>
      </c>
      <c r="Y43" s="11"/>
      <c r="Z43" s="1">
        <f>Z42/(Z41*12)</f>
        <v>2882.164776891595</v>
      </c>
    </row>
    <row r="44" spans="1:26" ht="12.75">
      <c r="A44" s="1"/>
      <c r="B44" s="1"/>
      <c r="C44" s="11"/>
      <c r="D44" s="1"/>
      <c r="E44" s="17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7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spans="12:26" ht="12.75">
      <c r="L46" t="s">
        <v>197</v>
      </c>
      <c r="Y46" s="10" t="s">
        <v>62</v>
      </c>
      <c r="Z46" s="1"/>
    </row>
    <row r="47" spans="16:26" ht="12.75">
      <c r="P47" t="s">
        <v>200</v>
      </c>
      <c r="Z47" s="1"/>
    </row>
    <row r="48" ht="12.75">
      <c r="Z48" s="1"/>
    </row>
    <row r="49" spans="1:26" ht="12.75">
      <c r="A49" s="1"/>
      <c r="B49" s="1"/>
      <c r="C49" s="11"/>
      <c r="D49" s="1"/>
      <c r="E49" s="17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2"/>
      <c r="E50" s="17"/>
      <c r="F50" s="1"/>
      <c r="G50" s="11"/>
      <c r="H50" s="1"/>
      <c r="I50" s="11"/>
      <c r="J50" s="1"/>
      <c r="K50" s="11"/>
      <c r="L50" s="1" t="s">
        <v>124</v>
      </c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7"/>
      <c r="F51" s="1"/>
      <c r="G51" s="11"/>
      <c r="H51" s="1"/>
      <c r="I51" s="11"/>
      <c r="J51" s="1"/>
      <c r="K51" s="11"/>
      <c r="L51" s="1" t="s">
        <v>187</v>
      </c>
      <c r="M51" s="11"/>
      <c r="N51" s="1"/>
      <c r="O51" s="11"/>
      <c r="P51" s="2" t="s">
        <v>128</v>
      </c>
      <c r="Q51" s="12"/>
      <c r="R51" s="1" t="s">
        <v>129</v>
      </c>
      <c r="S51" s="11"/>
      <c r="T51" s="2" t="s">
        <v>131</v>
      </c>
      <c r="U51" s="12"/>
      <c r="V51" s="2" t="s">
        <v>133</v>
      </c>
      <c r="W51" s="12"/>
      <c r="X51" s="2" t="s">
        <v>140</v>
      </c>
      <c r="Y51" s="12"/>
      <c r="Z51" s="1"/>
    </row>
    <row r="52" spans="1:26" ht="12.75">
      <c r="A52" s="1" t="s">
        <v>185</v>
      </c>
      <c r="B52" s="1"/>
      <c r="C52" s="11"/>
      <c r="D52" s="2" t="s">
        <v>184</v>
      </c>
      <c r="E52" s="18" t="s">
        <v>144</v>
      </c>
      <c r="F52" s="2" t="s">
        <v>7</v>
      </c>
      <c r="G52" s="11" t="s">
        <v>145</v>
      </c>
      <c r="H52" s="1" t="s">
        <v>8</v>
      </c>
      <c r="I52" s="11" t="s">
        <v>146</v>
      </c>
      <c r="J52" s="2" t="s">
        <v>9</v>
      </c>
      <c r="K52" s="11" t="s">
        <v>147</v>
      </c>
      <c r="L52" s="1" t="s">
        <v>125</v>
      </c>
      <c r="M52" s="11" t="s">
        <v>148</v>
      </c>
      <c r="N52" s="2" t="s">
        <v>126</v>
      </c>
      <c r="O52" s="12" t="s">
        <v>149</v>
      </c>
      <c r="P52" s="2" t="s">
        <v>127</v>
      </c>
      <c r="Q52" s="12" t="s">
        <v>150</v>
      </c>
      <c r="R52" s="1" t="s">
        <v>130</v>
      </c>
      <c r="S52" s="11" t="s">
        <v>151</v>
      </c>
      <c r="T52" s="2" t="s">
        <v>132</v>
      </c>
      <c r="U52" s="12" t="s">
        <v>152</v>
      </c>
      <c r="V52" s="2" t="s">
        <v>134</v>
      </c>
      <c r="W52" s="12" t="s">
        <v>153</v>
      </c>
      <c r="X52" s="2" t="s">
        <v>141</v>
      </c>
      <c r="Y52" s="12" t="s">
        <v>154</v>
      </c>
      <c r="Z52" s="2" t="s">
        <v>94</v>
      </c>
    </row>
    <row r="53" spans="1:26" ht="12.75">
      <c r="A53" s="1"/>
      <c r="B53" s="1"/>
      <c r="C53" s="11"/>
      <c r="D53" s="1"/>
      <c r="E53" s="17"/>
      <c r="F53" s="1"/>
      <c r="G53" s="11"/>
      <c r="H53" s="1"/>
      <c r="I53" s="11"/>
      <c r="J53" s="1"/>
      <c r="K53" s="11"/>
      <c r="L53" s="1"/>
      <c r="M53" s="11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</row>
    <row r="54" spans="1:26" ht="12.75">
      <c r="A54" s="1" t="s">
        <v>81</v>
      </c>
      <c r="B54" s="1"/>
      <c r="C54" s="11"/>
      <c r="D54" s="1"/>
      <c r="E54" s="17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7" ht="12.75">
      <c r="A55" s="1" t="s">
        <v>18</v>
      </c>
      <c r="B55" s="1"/>
      <c r="C55" s="11">
        <f aca="true" t="shared" si="7" ref="C55:D57">+E55+G55+I55+K55+M55+O55+Q55+S55+U55+W55+Y55</f>
        <v>170</v>
      </c>
      <c r="D55" s="1">
        <f t="shared" si="7"/>
        <v>390.7155093781374</v>
      </c>
      <c r="E55" s="17">
        <v>0</v>
      </c>
      <c r="F55" s="1">
        <f>+F$115*E55</f>
        <v>0</v>
      </c>
      <c r="G55" s="15">
        <v>37</v>
      </c>
      <c r="H55" s="1">
        <f>+H$115*G55</f>
        <v>113.02668539325843</v>
      </c>
      <c r="I55" s="11">
        <v>9</v>
      </c>
      <c r="J55" s="1">
        <f>+J$115*I55</f>
        <v>15.552</v>
      </c>
      <c r="K55" s="15">
        <v>32</v>
      </c>
      <c r="L55" s="1">
        <f>+L$115*K55</f>
        <v>63.21739130434783</v>
      </c>
      <c r="M55" s="11">
        <v>3</v>
      </c>
      <c r="N55" s="1">
        <f>+N$115*M55</f>
        <v>8.454545454545455</v>
      </c>
      <c r="O55" s="11">
        <v>11</v>
      </c>
      <c r="P55" s="1">
        <f>+P$115*O55</f>
        <v>27.897478991596635</v>
      </c>
      <c r="Q55" s="11">
        <v>12</v>
      </c>
      <c r="R55" s="1">
        <f>+R$115*Q55</f>
        <v>36.01564537157758</v>
      </c>
      <c r="S55" s="11">
        <v>31</v>
      </c>
      <c r="T55" s="1">
        <f>+T$115*S55</f>
        <v>67.99447513812154</v>
      </c>
      <c r="U55" s="11">
        <v>12</v>
      </c>
      <c r="V55" s="1">
        <f>+V$115*U55</f>
        <v>22.677165354330707</v>
      </c>
      <c r="W55" s="11">
        <v>9</v>
      </c>
      <c r="X55" s="1">
        <f>+X$115*W55</f>
        <v>18.169278996865202</v>
      </c>
      <c r="Y55" s="11">
        <v>14</v>
      </c>
      <c r="Z55" s="1">
        <f>+Z$115*Y55</f>
        <v>17.710843373493976</v>
      </c>
      <c r="AA55">
        <f>+F55+H55+J55+L55+N55+P55+R55+T55+V55+X55+Z55</f>
        <v>390.7155093781374</v>
      </c>
    </row>
    <row r="56" spans="1:27" ht="12.75">
      <c r="A56" s="1" t="s">
        <v>20</v>
      </c>
      <c r="B56" s="1"/>
      <c r="C56" s="11">
        <f t="shared" si="7"/>
        <v>2460</v>
      </c>
      <c r="D56" s="1">
        <f t="shared" si="7"/>
        <v>3920.159796387349</v>
      </c>
      <c r="E56" s="17">
        <v>0</v>
      </c>
      <c r="F56" s="1">
        <f>+F$116*E56</f>
        <v>0</v>
      </c>
      <c r="G56" s="15">
        <v>203</v>
      </c>
      <c r="H56" s="1">
        <f>+H$116*G56</f>
        <v>444.1430385103681</v>
      </c>
      <c r="I56" s="11">
        <v>683</v>
      </c>
      <c r="J56" s="1">
        <f>+J$116*I56</f>
        <v>699.8514602215508</v>
      </c>
      <c r="K56" s="15">
        <v>324</v>
      </c>
      <c r="L56" s="1">
        <f>+L$116*K56</f>
        <v>413.1086109142452</v>
      </c>
      <c r="M56" s="11">
        <v>38</v>
      </c>
      <c r="N56" s="1">
        <f>+N$116*M56</f>
        <v>56.21889274620867</v>
      </c>
      <c r="O56" s="11">
        <v>45</v>
      </c>
      <c r="P56" s="1">
        <f>+P$116*O56</f>
        <v>72.66044489900281</v>
      </c>
      <c r="Q56" s="11">
        <v>80</v>
      </c>
      <c r="R56" s="1">
        <f>+R$116*Q56</f>
        <v>123.23562570462232</v>
      </c>
      <c r="S56" s="11">
        <v>469</v>
      </c>
      <c r="T56" s="1">
        <f>+T$116*S56</f>
        <v>1272.3748055987558</v>
      </c>
      <c r="U56" s="11">
        <v>220</v>
      </c>
      <c r="V56" s="1">
        <f>+V$116*U56</f>
        <v>321.85502727981293</v>
      </c>
      <c r="W56" s="11">
        <v>35</v>
      </c>
      <c r="X56" s="1">
        <f>+X$116*W56</f>
        <v>66.71064814814815</v>
      </c>
      <c r="Y56" s="11">
        <v>363</v>
      </c>
      <c r="Z56" s="1">
        <f>+Z$116*Y56</f>
        <v>450.001242364634</v>
      </c>
      <c r="AA56">
        <f>+F56+H56+J56+L56+N56+P56+R56+T56+V56+X56+Z56</f>
        <v>3920.159796387349</v>
      </c>
    </row>
    <row r="57" spans="1:27" ht="12.75">
      <c r="A57" s="1" t="s">
        <v>21</v>
      </c>
      <c r="B57" s="1"/>
      <c r="C57" s="11">
        <f t="shared" si="7"/>
        <v>61320760</v>
      </c>
      <c r="D57" s="1">
        <f t="shared" si="7"/>
        <v>92551418.72179328</v>
      </c>
      <c r="E57" s="17">
        <v>0</v>
      </c>
      <c r="F57" s="1">
        <f>+F$117*E57</f>
        <v>0</v>
      </c>
      <c r="G57" s="15">
        <v>4885138</v>
      </c>
      <c r="H57" s="1">
        <f>+H$117*G57</f>
        <v>10462926.22878585</v>
      </c>
      <c r="I57" s="11">
        <v>21097377</v>
      </c>
      <c r="J57" s="1">
        <f>+J$117*I57</f>
        <v>22811298.535467535</v>
      </c>
      <c r="K57" s="15">
        <v>4647573</v>
      </c>
      <c r="L57" s="1">
        <f>+L$117*K57</f>
        <v>5794744.22230648</v>
      </c>
      <c r="M57" s="11">
        <v>268001</v>
      </c>
      <c r="N57" s="1">
        <f>+N$117*M57</f>
        <v>375712.4612476662</v>
      </c>
      <c r="O57" s="11">
        <v>660670</v>
      </c>
      <c r="P57" s="1">
        <f>+P$117*O57</f>
        <v>1050221.6546844589</v>
      </c>
      <c r="Q57" s="11">
        <v>1948211</v>
      </c>
      <c r="R57" s="1">
        <f>+R$117*Q57</f>
        <v>3190352.5265424475</v>
      </c>
      <c r="S57" s="11">
        <v>14664884</v>
      </c>
      <c r="T57" s="1">
        <f>+T$117*S57</f>
        <v>31721730.545789186</v>
      </c>
      <c r="U57" s="11">
        <v>2168968</v>
      </c>
      <c r="V57" s="1">
        <f>+V$117*U57</f>
        <v>3165352.960753893</v>
      </c>
      <c r="W57" s="11">
        <v>503381</v>
      </c>
      <c r="X57" s="1">
        <f>+X$117*W57</f>
        <v>943184.9760032014</v>
      </c>
      <c r="Y57" s="11">
        <v>10476557</v>
      </c>
      <c r="Z57" s="1">
        <f>+Z$117*Y57</f>
        <v>13035894.610212563</v>
      </c>
      <c r="AA57">
        <f>+F57+H57+J57+L57+N57+P57+R57+T57+V57+X57+Z57</f>
        <v>92551418.72179328</v>
      </c>
    </row>
    <row r="58" spans="1:26" ht="12.75">
      <c r="A58" s="1" t="s">
        <v>23</v>
      </c>
      <c r="B58" s="1"/>
      <c r="C58" s="11">
        <f>C57/(C56*12)</f>
        <v>2077.261517615176</v>
      </c>
      <c r="D58" s="1">
        <f>D57/(D56*12)</f>
        <v>1967.424448851224</v>
      </c>
      <c r="E58" s="17"/>
      <c r="F58" s="1">
        <v>0</v>
      </c>
      <c r="G58" s="15"/>
      <c r="H58" s="1">
        <f>H57/(H56*12)</f>
        <v>1963.1299907116152</v>
      </c>
      <c r="I58" s="11"/>
      <c r="J58" s="1">
        <f>J57/(J56*12)</f>
        <v>2716.20715633074</v>
      </c>
      <c r="K58" s="15"/>
      <c r="L58" s="1">
        <f>L57/(L56*12)</f>
        <v>1168.9307341964718</v>
      </c>
      <c r="M58" s="11"/>
      <c r="N58" s="1">
        <f>N57/(N56*12)</f>
        <v>556.9190398676132</v>
      </c>
      <c r="O58" s="11"/>
      <c r="P58" s="1">
        <f>P57/(P56*12)</f>
        <v>1204.4857603797304</v>
      </c>
      <c r="Q58" s="11"/>
      <c r="R58" s="1">
        <f>R57/(R56*12)</f>
        <v>2157.3527056408007</v>
      </c>
      <c r="S58" s="11"/>
      <c r="T58" s="1">
        <f>T57/(T56*12)</f>
        <v>2077.593436973519</v>
      </c>
      <c r="U58" s="11"/>
      <c r="V58" s="1">
        <f>V57/(V56*12)</f>
        <v>819.5597117917141</v>
      </c>
      <c r="W58" s="11"/>
      <c r="X58" s="1">
        <f>X57/(X56*12)</f>
        <v>1178.2039326872982</v>
      </c>
      <c r="Y58" s="11"/>
      <c r="Z58" s="1">
        <f>Z57/(Z56*12)</f>
        <v>2414.0478927184895</v>
      </c>
    </row>
    <row r="59" spans="1:26" ht="12.75">
      <c r="A59" s="1"/>
      <c r="B59" s="1"/>
      <c r="C59" s="11"/>
      <c r="D59" s="1"/>
      <c r="E59" s="17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 t="s">
        <v>95</v>
      </c>
      <c r="B60" s="1"/>
      <c r="C60" s="11"/>
      <c r="D60" s="1"/>
      <c r="E60" s="17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7" ht="12.75">
      <c r="A61" s="1" t="s">
        <v>18</v>
      </c>
      <c r="B61" s="1"/>
      <c r="C61" s="11">
        <f aca="true" t="shared" si="8" ref="C61:D63">+E61+G61+I61+K61+M61+O61+Q61+S61+U61+W61+Y61</f>
        <v>83</v>
      </c>
      <c r="D61" s="1">
        <f t="shared" si="8"/>
        <v>198.94140566682373</v>
      </c>
      <c r="E61" s="17">
        <v>0</v>
      </c>
      <c r="F61" s="1">
        <f>+F$115*E61</f>
        <v>0</v>
      </c>
      <c r="G61" s="15">
        <v>21</v>
      </c>
      <c r="H61" s="1">
        <f>+H$115*G61</f>
        <v>64.1502808988764</v>
      </c>
      <c r="I61" s="11">
        <v>4</v>
      </c>
      <c r="J61" s="1">
        <f>+J$115*I61</f>
        <v>6.912</v>
      </c>
      <c r="K61" s="11">
        <v>16</v>
      </c>
      <c r="L61" s="1">
        <f>+L$115*K61</f>
        <v>31.608695652173914</v>
      </c>
      <c r="M61" s="15">
        <v>0</v>
      </c>
      <c r="N61" s="1">
        <f>+N$115*M61</f>
        <v>0</v>
      </c>
      <c r="O61" s="11">
        <v>6</v>
      </c>
      <c r="P61" s="1">
        <f>+P$115*O61</f>
        <v>15.216806722689075</v>
      </c>
      <c r="Q61" s="11">
        <v>13</v>
      </c>
      <c r="R61" s="1">
        <f>+R$115*Q61</f>
        <v>39.016949152542374</v>
      </c>
      <c r="S61" s="11">
        <v>8</v>
      </c>
      <c r="T61" s="1">
        <f>+T$115*S61</f>
        <v>17.54696132596685</v>
      </c>
      <c r="U61" s="11">
        <v>4</v>
      </c>
      <c r="V61" s="1">
        <f>+V$115*U61</f>
        <v>7.559055118110236</v>
      </c>
      <c r="W61" s="11">
        <v>4</v>
      </c>
      <c r="X61" s="1">
        <f>+X$115*W61</f>
        <v>8.075235109717868</v>
      </c>
      <c r="Y61" s="11">
        <v>7</v>
      </c>
      <c r="Z61" s="1">
        <f>+Z$115*Y61</f>
        <v>8.855421686746988</v>
      </c>
      <c r="AA61">
        <f>+F61+H61+J61+L61+N61+P61+R61+T61+V61+X61+Z61</f>
        <v>198.94140566682373</v>
      </c>
    </row>
    <row r="62" spans="1:27" ht="12.75">
      <c r="A62" s="1" t="s">
        <v>20</v>
      </c>
      <c r="B62" s="1"/>
      <c r="C62" s="11">
        <f t="shared" si="8"/>
        <v>1394</v>
      </c>
      <c r="D62" s="1">
        <f t="shared" si="8"/>
        <v>2226.304681451492</v>
      </c>
      <c r="E62" s="17">
        <v>6</v>
      </c>
      <c r="F62" s="1">
        <f>+F$116*E62</f>
        <v>41.14285714285714</v>
      </c>
      <c r="G62" s="15">
        <v>225</v>
      </c>
      <c r="H62" s="1">
        <f>+H$116*G62</f>
        <v>492.2767668218366</v>
      </c>
      <c r="I62" s="11">
        <v>88</v>
      </c>
      <c r="J62" s="1">
        <f>+J$116*I62</f>
        <v>90.17119838872105</v>
      </c>
      <c r="K62" s="11">
        <v>370</v>
      </c>
      <c r="L62" s="1">
        <f>+L$116*K62</f>
        <v>471.7598334514529</v>
      </c>
      <c r="M62" s="15">
        <v>0</v>
      </c>
      <c r="N62" s="1">
        <f>+N$116*M62</f>
        <v>0</v>
      </c>
      <c r="O62" s="11">
        <v>35</v>
      </c>
      <c r="P62" s="1">
        <f>+P$116*O62</f>
        <v>56.51367936589107</v>
      </c>
      <c r="Q62" s="11">
        <v>24</v>
      </c>
      <c r="R62" s="1">
        <f>+R$116*Q62</f>
        <v>36.9706877113867</v>
      </c>
      <c r="S62" s="11">
        <v>147</v>
      </c>
      <c r="T62" s="1">
        <f>+T$116*S62</f>
        <v>398.80404354587864</v>
      </c>
      <c r="U62" s="11">
        <v>66</v>
      </c>
      <c r="V62" s="1">
        <f>+V$116*U62</f>
        <v>96.55650818394388</v>
      </c>
      <c r="W62" s="11">
        <v>8</v>
      </c>
      <c r="X62" s="1">
        <f>+X$116*W62</f>
        <v>15.248148148148148</v>
      </c>
      <c r="Y62" s="11">
        <v>425</v>
      </c>
      <c r="Z62" s="1">
        <f>+Z$116*Y62</f>
        <v>526.8609586913759</v>
      </c>
      <c r="AA62">
        <f>+F62+H62+J62+L62+N62+P62+R62+T62+V62+X62+Z62</f>
        <v>2226.304681451492</v>
      </c>
    </row>
    <row r="63" spans="1:27" ht="12.75">
      <c r="A63" s="1" t="s">
        <v>21</v>
      </c>
      <c r="B63" s="1"/>
      <c r="C63" s="11">
        <f t="shared" si="8"/>
        <v>35432571</v>
      </c>
      <c r="D63" s="1">
        <f t="shared" si="8"/>
        <v>55736208.54170857</v>
      </c>
      <c r="E63" s="17">
        <v>231311</v>
      </c>
      <c r="F63" s="1">
        <f>+F$117*E63</f>
        <v>1586659.0183248303</v>
      </c>
      <c r="G63" s="15">
        <v>6819273</v>
      </c>
      <c r="H63" s="1">
        <f>+H$117*G63</f>
        <v>14605431.890143365</v>
      </c>
      <c r="I63" s="11">
        <v>1626212</v>
      </c>
      <c r="J63" s="1">
        <f>+J$117*I63</f>
        <v>1758323.1988488298</v>
      </c>
      <c r="K63" s="11">
        <v>8966163</v>
      </c>
      <c r="L63" s="1">
        <f>+L$117*K63</f>
        <v>11179301.807740971</v>
      </c>
      <c r="M63" s="15">
        <v>0</v>
      </c>
      <c r="N63" s="1">
        <f>+N$117*M63</f>
        <v>0</v>
      </c>
      <c r="O63" s="11">
        <v>821256</v>
      </c>
      <c r="P63" s="1">
        <f>+P$117*O63</f>
        <v>1305494.1729449497</v>
      </c>
      <c r="Q63" s="11">
        <v>3002734</v>
      </c>
      <c r="R63" s="1">
        <f>+R$117*Q63</f>
        <v>4917218.927228575</v>
      </c>
      <c r="S63" s="11">
        <v>3002734</v>
      </c>
      <c r="T63" s="1">
        <f>+T$117*S63</f>
        <v>6495238.479123308</v>
      </c>
      <c r="U63" s="11">
        <v>429183</v>
      </c>
      <c r="V63" s="1">
        <f>+V$117*U63</f>
        <v>626341.9652826773</v>
      </c>
      <c r="W63" s="11">
        <v>246574</v>
      </c>
      <c r="X63" s="1">
        <f>+X$117*W63</f>
        <v>462005.701989176</v>
      </c>
      <c r="Y63" s="11">
        <v>10287131</v>
      </c>
      <c r="Z63" s="1">
        <f>+Z$117*Y63</f>
        <v>12800193.380081888</v>
      </c>
      <c r="AA63">
        <f>+F63+H63+J63+L63+N63+P63+R63+T63+V63+X63+Z63</f>
        <v>55736208.54170857</v>
      </c>
    </row>
    <row r="64" spans="1:26" ht="12.75">
      <c r="A64" s="1" t="s">
        <v>23</v>
      </c>
      <c r="B64" s="1"/>
      <c r="C64" s="11">
        <f>C63/(C62*12)</f>
        <v>2118.1594332855093</v>
      </c>
      <c r="D64" s="1">
        <f>D63/(D62*12)</f>
        <v>2086.275110428358</v>
      </c>
      <c r="E64" s="17"/>
      <c r="F64" s="1">
        <v>0</v>
      </c>
      <c r="G64" s="15"/>
      <c r="H64" s="1">
        <f>H63/(H62*12)</f>
        <v>2472.428938778478</v>
      </c>
      <c r="I64" s="11"/>
      <c r="J64" s="1">
        <f>J63/(J62*12)</f>
        <v>1624.9859806202887</v>
      </c>
      <c r="K64" s="11"/>
      <c r="L64" s="1">
        <f>L63/(L62*12)</f>
        <v>1974.7515958759186</v>
      </c>
      <c r="M64" s="15"/>
      <c r="N64" s="1">
        <v>0</v>
      </c>
      <c r="O64" s="11"/>
      <c r="P64" s="1">
        <f>P63/(P62*12)</f>
        <v>1925.0415527608864</v>
      </c>
      <c r="Q64" s="11"/>
      <c r="R64" s="1">
        <f>R63/(R62*12)</f>
        <v>11083.598096269898</v>
      </c>
      <c r="S64" s="11"/>
      <c r="T64" s="1">
        <f>T63/(T62*12)</f>
        <v>1357.2326610525142</v>
      </c>
      <c r="U64" s="11"/>
      <c r="V64" s="1">
        <f>V63/(V62*12)</f>
        <v>540.5659831248521</v>
      </c>
      <c r="W64" s="11"/>
      <c r="X64" s="1">
        <f>X63/(X62*12)</f>
        <v>2524.927931687262</v>
      </c>
      <c r="Y64" s="11"/>
      <c r="Z64" s="1">
        <f>Z63/(Z62*12)</f>
        <v>2024.600160776633</v>
      </c>
    </row>
    <row r="65" spans="3:26" ht="12.75">
      <c r="C65" s="11"/>
      <c r="D65" s="1"/>
      <c r="E65" s="17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 t="s">
        <v>98</v>
      </c>
      <c r="B66" s="1"/>
      <c r="C66" s="11"/>
      <c r="D66" s="1"/>
      <c r="E66" s="17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7" ht="12.75">
      <c r="A67" s="1" t="s">
        <v>18</v>
      </c>
      <c r="B67" s="1"/>
      <c r="C67" s="11">
        <f aca="true" t="shared" si="9" ref="C67:D69">+E67+G67+I67+K67+M67+O67+Q67+S67+U67+W67+Y67</f>
        <v>9</v>
      </c>
      <c r="D67" s="1">
        <f t="shared" si="9"/>
        <v>20.334117368349805</v>
      </c>
      <c r="E67" s="17">
        <v>0</v>
      </c>
      <c r="F67" s="1">
        <f>+F$115*E67</f>
        <v>0</v>
      </c>
      <c r="G67" s="11">
        <v>5</v>
      </c>
      <c r="H67" s="1">
        <f>+H$115*G67</f>
        <v>15.273876404494382</v>
      </c>
      <c r="I67" s="11">
        <v>0</v>
      </c>
      <c r="J67" s="1">
        <f>+J$115*I67</f>
        <v>0</v>
      </c>
      <c r="K67" s="11">
        <v>0</v>
      </c>
      <c r="L67" s="1">
        <f>+L$115*K67</f>
        <v>0</v>
      </c>
      <c r="M67" s="11">
        <v>0</v>
      </c>
      <c r="N67" s="1">
        <f>+N$115*M67</f>
        <v>0</v>
      </c>
      <c r="O67" s="11">
        <v>0</v>
      </c>
      <c r="P67" s="1">
        <f>+P$115*O67</f>
        <v>0</v>
      </c>
      <c r="Q67" s="11">
        <v>0</v>
      </c>
      <c r="R67" s="1">
        <f>+R$115*Q67</f>
        <v>0</v>
      </c>
      <c r="S67" s="11">
        <v>0</v>
      </c>
      <c r="T67" s="1">
        <f>+T$115*S67</f>
        <v>0</v>
      </c>
      <c r="U67" s="11">
        <v>0</v>
      </c>
      <c r="V67" s="1">
        <f>+V$115*U67</f>
        <v>0</v>
      </c>
      <c r="W67" s="11">
        <v>0</v>
      </c>
      <c r="X67" s="1">
        <f>+X$115*W67</f>
        <v>0</v>
      </c>
      <c r="Y67" s="11">
        <v>4</v>
      </c>
      <c r="Z67" s="1">
        <f>+Z$115*Y67</f>
        <v>5.0602409638554215</v>
      </c>
      <c r="AA67">
        <f>+F67+H67+J67+L67+N67+P67+R67+T67+V67+X67+Z67</f>
        <v>20.334117368349805</v>
      </c>
    </row>
    <row r="68" spans="1:27" ht="12.75">
      <c r="A68" s="1" t="s">
        <v>20</v>
      </c>
      <c r="B68" s="1"/>
      <c r="C68" s="11">
        <f t="shared" si="9"/>
        <v>49</v>
      </c>
      <c r="D68" s="1">
        <f t="shared" si="9"/>
        <v>80.6566712014699</v>
      </c>
      <c r="E68" s="17">
        <v>0</v>
      </c>
      <c r="F68" s="1">
        <f>+F$116*E68</f>
        <v>0</v>
      </c>
      <c r="G68" s="11">
        <v>21</v>
      </c>
      <c r="H68" s="1">
        <f>+H$116*G68</f>
        <v>45.94583157003808</v>
      </c>
      <c r="I68" s="11">
        <v>0</v>
      </c>
      <c r="J68" s="1">
        <f>+J$116*I68</f>
        <v>0</v>
      </c>
      <c r="K68" s="11">
        <v>0</v>
      </c>
      <c r="L68" s="1">
        <f>+L$116*K68</f>
        <v>0</v>
      </c>
      <c r="M68" s="11">
        <v>0</v>
      </c>
      <c r="N68" s="1">
        <f>+N$116*M68</f>
        <v>0</v>
      </c>
      <c r="O68" s="11">
        <v>0</v>
      </c>
      <c r="P68" s="1">
        <f>+P$116*O68</f>
        <v>0</v>
      </c>
      <c r="Q68" s="11">
        <v>0</v>
      </c>
      <c r="R68" s="1">
        <f>+R$116*Q68</f>
        <v>0</v>
      </c>
      <c r="S68" s="11">
        <v>0</v>
      </c>
      <c r="T68" s="1">
        <f>+T$116*S68</f>
        <v>0</v>
      </c>
      <c r="U68" s="11">
        <v>0</v>
      </c>
      <c r="V68" s="1">
        <f>+V$116*U68</f>
        <v>0</v>
      </c>
      <c r="W68" s="11">
        <v>0</v>
      </c>
      <c r="X68" s="1">
        <f>+X$116*W68</f>
        <v>0</v>
      </c>
      <c r="Y68" s="11">
        <v>28</v>
      </c>
      <c r="Z68" s="1">
        <f>+Z$116*Y68</f>
        <v>34.710839631431824</v>
      </c>
      <c r="AA68">
        <f>+F68+H68+J68+L68+N68+P68+R68+T68+V68+X68+Z68</f>
        <v>80.6566712014699</v>
      </c>
    </row>
    <row r="69" spans="1:27" ht="12.75">
      <c r="A69" s="1" t="s">
        <v>21</v>
      </c>
      <c r="B69" s="1"/>
      <c r="C69" s="11">
        <f t="shared" si="9"/>
        <v>820109</v>
      </c>
      <c r="D69" s="1">
        <f t="shared" si="9"/>
        <v>1461340.5834041494</v>
      </c>
      <c r="E69" s="17">
        <v>0</v>
      </c>
      <c r="F69" s="1">
        <f>+F$117*E69</f>
        <v>0</v>
      </c>
      <c r="G69" s="11">
        <v>491240</v>
      </c>
      <c r="H69" s="1">
        <f>+H$117*G69</f>
        <v>1052131.5632493414</v>
      </c>
      <c r="I69" s="11">
        <v>0</v>
      </c>
      <c r="J69" s="1">
        <f>+J$117*I69</f>
        <v>0</v>
      </c>
      <c r="K69" s="11">
        <v>0</v>
      </c>
      <c r="L69" s="1">
        <f>+L$117*K69</f>
        <v>0</v>
      </c>
      <c r="M69" s="11">
        <v>0</v>
      </c>
      <c r="N69" s="1">
        <f>+N$117*M69</f>
        <v>0</v>
      </c>
      <c r="O69" s="11">
        <v>0</v>
      </c>
      <c r="P69" s="1">
        <f>+P$117*O69</f>
        <v>0</v>
      </c>
      <c r="Q69" s="11">
        <v>0</v>
      </c>
      <c r="R69" s="1">
        <f>+R$117*Q69</f>
        <v>0</v>
      </c>
      <c r="S69" s="11">
        <v>0</v>
      </c>
      <c r="T69" s="1">
        <f>+T$117*S69</f>
        <v>0</v>
      </c>
      <c r="U69" s="11">
        <v>0</v>
      </c>
      <c r="V69" s="1">
        <f>+V$117*U69</f>
        <v>0</v>
      </c>
      <c r="W69" s="11">
        <v>0</v>
      </c>
      <c r="X69" s="1">
        <f>+X$117*W69</f>
        <v>0</v>
      </c>
      <c r="Y69" s="11">
        <v>328869</v>
      </c>
      <c r="Z69" s="1">
        <f>+Z$117*Y69</f>
        <v>409209.02015480807</v>
      </c>
      <c r="AA69">
        <f>+F69+H69+J69+L69+N69+P69+R69+T69+V69+X69+Z69</f>
        <v>1461340.5834041494</v>
      </c>
    </row>
    <row r="70" spans="1:26" ht="12.75">
      <c r="A70" s="1" t="s">
        <v>23</v>
      </c>
      <c r="B70" s="1"/>
      <c r="C70" s="11">
        <f>C69/(C68*12)</f>
        <v>1394.7431972789116</v>
      </c>
      <c r="D70" s="1">
        <f>D69/(D68*12)</f>
        <v>1509.8364479505879</v>
      </c>
      <c r="E70" s="17"/>
      <c r="F70" s="1">
        <v>0</v>
      </c>
      <c r="G70" s="11"/>
      <c r="H70" s="1">
        <f>H69/(H68*12)</f>
        <v>1908.282585703689</v>
      </c>
      <c r="I70" s="11"/>
      <c r="J70" s="1">
        <v>0</v>
      </c>
      <c r="K70" s="11"/>
      <c r="L70" s="1">
        <v>0</v>
      </c>
      <c r="M70" s="11"/>
      <c r="N70" s="1">
        <v>0</v>
      </c>
      <c r="O70" s="11"/>
      <c r="P70" s="1">
        <v>0</v>
      </c>
      <c r="Q70" s="11"/>
      <c r="R70" s="1">
        <v>0</v>
      </c>
      <c r="S70" s="11"/>
      <c r="T70" s="1">
        <v>0</v>
      </c>
      <c r="U70" s="11"/>
      <c r="V70" s="1">
        <v>0</v>
      </c>
      <c r="W70" s="11"/>
      <c r="X70" s="1">
        <v>0</v>
      </c>
      <c r="Y70" s="11"/>
      <c r="Z70" s="1">
        <f>Z69/(Z68*12)</f>
        <v>982.4237051496723</v>
      </c>
    </row>
    <row r="71" spans="1:26" ht="12.75">
      <c r="A71" s="1"/>
      <c r="B71" s="1"/>
      <c r="C71" s="11"/>
      <c r="D71" s="1"/>
      <c r="E71" s="17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 t="s">
        <v>103</v>
      </c>
      <c r="B72" s="1"/>
      <c r="C72" s="11"/>
      <c r="D72" s="1"/>
      <c r="E72" s="17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7" ht="12.75">
      <c r="A73" s="1" t="s">
        <v>18</v>
      </c>
      <c r="B73" s="1"/>
      <c r="C73" s="11">
        <f aca="true" t="shared" si="10" ref="C73:D75">+E73+G73+I73+K73+M73+O73+Q73+S73+U73+W73+Y73</f>
        <v>403</v>
      </c>
      <c r="D73" s="1">
        <f t="shared" si="10"/>
        <v>919.4567478278944</v>
      </c>
      <c r="E73" s="17">
        <v>0</v>
      </c>
      <c r="F73" s="1">
        <f>+F$115*E73</f>
        <v>0</v>
      </c>
      <c r="G73" s="11">
        <v>72</v>
      </c>
      <c r="H73" s="1">
        <f>+H$115*G73</f>
        <v>219.9438202247191</v>
      </c>
      <c r="I73" s="11">
        <v>26</v>
      </c>
      <c r="J73" s="1">
        <f>+J$115*I73</f>
        <v>44.928</v>
      </c>
      <c r="K73" s="11">
        <v>81</v>
      </c>
      <c r="L73" s="1">
        <f>+L$115*K73</f>
        <v>160.01902173913044</v>
      </c>
      <c r="M73" s="11">
        <v>6</v>
      </c>
      <c r="N73" s="1">
        <f>+N$115*M73</f>
        <v>16.90909090909091</v>
      </c>
      <c r="O73" s="11">
        <v>41</v>
      </c>
      <c r="P73" s="1">
        <f>+P$115*O73</f>
        <v>103.98151260504201</v>
      </c>
      <c r="Q73" s="11">
        <v>45</v>
      </c>
      <c r="R73" s="1">
        <f>+R$115*Q73</f>
        <v>135.0586701434159</v>
      </c>
      <c r="S73" s="11">
        <v>36</v>
      </c>
      <c r="T73" s="1">
        <f>+T$115*S73</f>
        <v>78.96132596685084</v>
      </c>
      <c r="U73" s="11">
        <v>31</v>
      </c>
      <c r="V73" s="1">
        <f>+V$115*U73</f>
        <v>58.58267716535433</v>
      </c>
      <c r="W73" s="11">
        <v>25</v>
      </c>
      <c r="X73" s="1">
        <f>+X$115*W73</f>
        <v>50.470219435736674</v>
      </c>
      <c r="Y73" s="11">
        <v>40</v>
      </c>
      <c r="Z73" s="1">
        <f>+Z$115*Y73</f>
        <v>50.602409638554214</v>
      </c>
      <c r="AA73">
        <f>+F73+H73+J73+L73+N73+P73+R73+T73+V73+X73+Z73</f>
        <v>919.4567478278944</v>
      </c>
    </row>
    <row r="74" spans="1:27" ht="12.75">
      <c r="A74" s="1" t="s">
        <v>20</v>
      </c>
      <c r="B74" s="1"/>
      <c r="C74" s="11">
        <f t="shared" si="10"/>
        <v>8349</v>
      </c>
      <c r="D74" s="1">
        <f t="shared" si="10"/>
        <v>11653.557138997396</v>
      </c>
      <c r="E74" s="17">
        <v>0</v>
      </c>
      <c r="F74" s="1">
        <f>+F$116*E74</f>
        <v>0</v>
      </c>
      <c r="G74" s="11">
        <v>403</v>
      </c>
      <c r="H74" s="1">
        <f>+H$116*G74</f>
        <v>881.7223867964451</v>
      </c>
      <c r="I74" s="11">
        <v>1426</v>
      </c>
      <c r="J74" s="1">
        <f>+J$116*I74</f>
        <v>1461.1832829808661</v>
      </c>
      <c r="K74" s="11">
        <v>2228</v>
      </c>
      <c r="L74" s="1">
        <f>+L$116*K74</f>
        <v>2840.759213323884</v>
      </c>
      <c r="M74" s="11">
        <v>59</v>
      </c>
      <c r="N74" s="1">
        <f>+N$116*M74</f>
        <v>87.28722821121872</v>
      </c>
      <c r="O74" s="11">
        <v>304</v>
      </c>
      <c r="P74" s="1">
        <f>+P$116*O74</f>
        <v>490.8616722065968</v>
      </c>
      <c r="Q74" s="11">
        <v>950</v>
      </c>
      <c r="R74" s="1">
        <f>+R$116*Q74</f>
        <v>1463.42305524239</v>
      </c>
      <c r="S74" s="11">
        <v>358</v>
      </c>
      <c r="T74" s="1">
        <f>+T$116*S74</f>
        <v>971.2370584314596</v>
      </c>
      <c r="U74" s="11">
        <v>561</v>
      </c>
      <c r="V74" s="1">
        <f>+V$116*U74</f>
        <v>820.7303195635229</v>
      </c>
      <c r="W74" s="11">
        <v>124</v>
      </c>
      <c r="X74" s="1">
        <f>+X$116*W74</f>
        <v>236.3462962962963</v>
      </c>
      <c r="Y74" s="11">
        <v>1936</v>
      </c>
      <c r="Z74" s="1">
        <f>+Z$116*Y74</f>
        <v>2400.006625944715</v>
      </c>
      <c r="AA74">
        <f>+F74+H74+J74+L74+N74+P74+R74+T74+V74+X74+Z74</f>
        <v>11653.557138997396</v>
      </c>
    </row>
    <row r="75" spans="1:27" ht="12.75">
      <c r="A75" s="1" t="s">
        <v>21</v>
      </c>
      <c r="B75" s="1"/>
      <c r="C75" s="11">
        <f t="shared" si="10"/>
        <v>235913764</v>
      </c>
      <c r="D75" s="1">
        <f t="shared" si="10"/>
        <v>313393095.20241773</v>
      </c>
      <c r="E75" s="17">
        <v>0</v>
      </c>
      <c r="F75" s="1">
        <f>+F$117*E75</f>
        <v>0</v>
      </c>
      <c r="G75" s="11">
        <v>10060676</v>
      </c>
      <c r="H75" s="1">
        <f>+H$117*G75</f>
        <v>21547827.47175542</v>
      </c>
      <c r="I75" s="11">
        <v>50574586</v>
      </c>
      <c r="J75" s="1">
        <f>+J$117*I75</f>
        <v>54683194.95611596</v>
      </c>
      <c r="K75" s="11">
        <v>82383140</v>
      </c>
      <c r="L75" s="1">
        <f>+L$117*K75</f>
        <v>102717961.51033363</v>
      </c>
      <c r="M75" s="11">
        <v>1022083</v>
      </c>
      <c r="N75" s="1">
        <f>+N$117*M75</f>
        <v>1432865.2487468272</v>
      </c>
      <c r="O75" s="11">
        <v>8694015</v>
      </c>
      <c r="P75" s="1">
        <f>+P$117*O75</f>
        <v>13820277.625972886</v>
      </c>
      <c r="Q75" s="11">
        <v>19358820</v>
      </c>
      <c r="R75" s="1">
        <f>+R$117*Q75</f>
        <v>31701627.953994952</v>
      </c>
      <c r="S75" s="11">
        <v>5782284</v>
      </c>
      <c r="T75" s="1">
        <f>+T$117*S75</f>
        <v>12507705.822100474</v>
      </c>
      <c r="U75" s="11">
        <v>4972158</v>
      </c>
      <c r="V75" s="1">
        <f>+V$117*U75</f>
        <v>7256278.122423271</v>
      </c>
      <c r="W75" s="11">
        <v>2694217</v>
      </c>
      <c r="X75" s="1">
        <f>+X$117*W75</f>
        <v>5048154.373113839</v>
      </c>
      <c r="Y75" s="11">
        <v>50371785</v>
      </c>
      <c r="Z75" s="1">
        <f>+Z$117*Y75</f>
        <v>62677202.11786048</v>
      </c>
      <c r="AA75">
        <f>+F75+H75+J75+L75+N75+P75+R75+T75+V75+X75+Z75</f>
        <v>313393095.20241773</v>
      </c>
    </row>
    <row r="76" spans="1:26" ht="12.75">
      <c r="A76" s="1" t="s">
        <v>23</v>
      </c>
      <c r="B76" s="1"/>
      <c r="C76" s="11">
        <f>C75/(C74*12)</f>
        <v>2354.710783726594</v>
      </c>
      <c r="D76" s="1">
        <f>D75/(D74*12)</f>
        <v>2241.0403068667683</v>
      </c>
      <c r="E76" s="17"/>
      <c r="F76" s="1">
        <v>0</v>
      </c>
      <c r="G76" s="11"/>
      <c r="H76" s="1">
        <f>H75/(H74*12)</f>
        <v>2036.5279550597331</v>
      </c>
      <c r="I76" s="11"/>
      <c r="J76" s="1">
        <f>J75/(J74*12)</f>
        <v>3118.659353748804</v>
      </c>
      <c r="K76" s="11"/>
      <c r="L76" s="1">
        <f>L75/(L74*12)</f>
        <v>3013.219172435788</v>
      </c>
      <c r="M76" s="11"/>
      <c r="N76" s="1">
        <f>N75/(N74*12)</f>
        <v>1367.9600079249872</v>
      </c>
      <c r="O76" s="11"/>
      <c r="P76" s="1">
        <f>P75/(P74*12)</f>
        <v>2346.2614161483707</v>
      </c>
      <c r="Q76" s="11"/>
      <c r="R76" s="1">
        <f>R75/(R74*12)</f>
        <v>1805.221203831596</v>
      </c>
      <c r="S76" s="11"/>
      <c r="T76" s="1">
        <f>T75/(T74*12)</f>
        <v>1073.1765324025976</v>
      </c>
      <c r="U76" s="11"/>
      <c r="V76" s="1">
        <f>V75/(V74*12)</f>
        <v>736.7704459326616</v>
      </c>
      <c r="W76" s="11"/>
      <c r="X76" s="1">
        <f>X75/(X74*12)</f>
        <v>1779.9285949691111</v>
      </c>
      <c r="Y76" s="11"/>
      <c r="Z76" s="1">
        <f>Z75/(Z74*12)</f>
        <v>2176.2857318914294</v>
      </c>
    </row>
    <row r="77" spans="1:26" ht="12.75">
      <c r="A77" s="1"/>
      <c r="B77" s="1"/>
      <c r="C77" s="11"/>
      <c r="D77" s="1"/>
      <c r="E77" s="17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 t="s">
        <v>107</v>
      </c>
      <c r="B78" s="1"/>
      <c r="C78" s="11"/>
      <c r="D78" s="1"/>
      <c r="E78" s="17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7" ht="12.75">
      <c r="A79" s="1" t="s">
        <v>18</v>
      </c>
      <c r="B79" s="1"/>
      <c r="C79" s="11">
        <f aca="true" t="shared" si="11" ref="C79:D81">+E79+G79+I79+K79+M79+O79+Q79+S79+U79+W79+Y79</f>
        <v>351</v>
      </c>
      <c r="D79" s="1">
        <f t="shared" si="11"/>
        <v>813.5079286409483</v>
      </c>
      <c r="E79" s="17">
        <v>0</v>
      </c>
      <c r="F79" s="1">
        <f>+F$115*E79</f>
        <v>0</v>
      </c>
      <c r="G79" s="15">
        <v>82</v>
      </c>
      <c r="H79" s="1">
        <f>+H$115*G79</f>
        <v>250.49157303370785</v>
      </c>
      <c r="I79" s="11">
        <v>30</v>
      </c>
      <c r="J79" s="1">
        <f>+J$115*I79</f>
        <v>51.839999999999996</v>
      </c>
      <c r="K79" s="11">
        <v>72</v>
      </c>
      <c r="L79" s="1">
        <f>+L$115*K79</f>
        <v>142.23913043478262</v>
      </c>
      <c r="M79" s="11">
        <v>6</v>
      </c>
      <c r="N79" s="1">
        <f>+N$115*M79</f>
        <v>16.90909090909091</v>
      </c>
      <c r="O79" s="11">
        <v>28</v>
      </c>
      <c r="P79" s="1">
        <f>+P$115*O79</f>
        <v>71.01176470588234</v>
      </c>
      <c r="Q79" s="11">
        <v>39</v>
      </c>
      <c r="R79" s="1">
        <f>+R$115*Q79</f>
        <v>117.05084745762711</v>
      </c>
      <c r="S79" s="11">
        <v>16</v>
      </c>
      <c r="T79" s="1">
        <f>+T$115*S79</f>
        <v>35.0939226519337</v>
      </c>
      <c r="U79" s="11">
        <v>23</v>
      </c>
      <c r="V79" s="1">
        <f>+V$115*U79</f>
        <v>43.46456692913386</v>
      </c>
      <c r="W79" s="11">
        <v>21</v>
      </c>
      <c r="X79" s="1">
        <f>+X$115*W79</f>
        <v>42.39498432601881</v>
      </c>
      <c r="Y79" s="11">
        <v>34</v>
      </c>
      <c r="Z79" s="1">
        <f>+Z$115*Y79</f>
        <v>43.01204819277108</v>
      </c>
      <c r="AA79">
        <f>+F79+H79+J79+L79+N79+P79+R79+T79+V79+X79+Z79</f>
        <v>813.5079286409483</v>
      </c>
    </row>
    <row r="80" spans="1:27" ht="12.75">
      <c r="A80" s="1" t="s">
        <v>20</v>
      </c>
      <c r="B80" s="1"/>
      <c r="C80" s="11">
        <f t="shared" si="11"/>
        <v>5404</v>
      </c>
      <c r="D80" s="1">
        <f t="shared" si="11"/>
        <v>7448.63705035621</v>
      </c>
      <c r="E80" s="17">
        <v>0</v>
      </c>
      <c r="F80" s="1">
        <f>+F$116*E80</f>
        <v>0</v>
      </c>
      <c r="G80" s="15">
        <v>461</v>
      </c>
      <c r="H80" s="1">
        <f>+H$116*G80</f>
        <v>1008.6203977994074</v>
      </c>
      <c r="I80" s="11">
        <v>1065</v>
      </c>
      <c r="J80" s="1">
        <f>+J$116*I80</f>
        <v>1091.2764350453172</v>
      </c>
      <c r="K80" s="11">
        <v>1780</v>
      </c>
      <c r="L80" s="1">
        <f>+L$116*K80</f>
        <v>2269.5473068745573</v>
      </c>
      <c r="M80" s="11">
        <v>37</v>
      </c>
      <c r="N80" s="1">
        <f>+N$116*M80</f>
        <v>54.7394482002558</v>
      </c>
      <c r="O80" s="11">
        <v>113</v>
      </c>
      <c r="P80" s="1">
        <f>+P$116*O80</f>
        <v>182.4584505241626</v>
      </c>
      <c r="Q80" s="11">
        <v>224</v>
      </c>
      <c r="R80" s="1">
        <f>+R$116*Q80</f>
        <v>345.05975197294254</v>
      </c>
      <c r="S80" s="11">
        <v>124</v>
      </c>
      <c r="T80" s="1">
        <f>+T$116*S80</f>
        <v>336.4061319706732</v>
      </c>
      <c r="U80" s="11">
        <v>396</v>
      </c>
      <c r="V80" s="1">
        <f>+V$116*U80</f>
        <v>579.3390491036632</v>
      </c>
      <c r="W80" s="11">
        <v>133</v>
      </c>
      <c r="X80" s="1">
        <f>+X$116*W80</f>
        <v>253.50046296296296</v>
      </c>
      <c r="Y80" s="11">
        <v>1071</v>
      </c>
      <c r="Z80" s="1">
        <f>+Z$116*Y80</f>
        <v>1327.6896159022672</v>
      </c>
      <c r="AA80">
        <f>+F80+H80+J80+L80+N80+P80+R80+T80+V80+X80+Z80</f>
        <v>7448.63705035621</v>
      </c>
    </row>
    <row r="81" spans="1:27" ht="12.75">
      <c r="A81" s="1" t="s">
        <v>21</v>
      </c>
      <c r="B81" s="1"/>
      <c r="C81" s="11">
        <f t="shared" si="11"/>
        <v>140660785</v>
      </c>
      <c r="D81" s="1">
        <f t="shared" si="11"/>
        <v>190645748.43882892</v>
      </c>
      <c r="E81" s="17">
        <v>0</v>
      </c>
      <c r="F81" s="1">
        <f>+F$117*E81</f>
        <v>0</v>
      </c>
      <c r="G81" s="15">
        <v>13070940</v>
      </c>
      <c r="H81" s="1">
        <f>+H$117*G81</f>
        <v>27995172.49274967</v>
      </c>
      <c r="I81" s="11">
        <v>29648688</v>
      </c>
      <c r="J81" s="1">
        <f>+J$117*I81</f>
        <v>32057306.135873377</v>
      </c>
      <c r="K81" s="11">
        <v>44905208</v>
      </c>
      <c r="L81" s="1">
        <f>+L$117*K81</f>
        <v>55989264.635428146</v>
      </c>
      <c r="M81" s="11">
        <v>776885</v>
      </c>
      <c r="N81" s="1">
        <f>+N$117*M81</f>
        <v>1089120.471402693</v>
      </c>
      <c r="O81" s="11">
        <v>2596577</v>
      </c>
      <c r="P81" s="1">
        <f>+P$117*O81</f>
        <v>4127599.8508417336</v>
      </c>
      <c r="Q81" s="11">
        <v>6954885</v>
      </c>
      <c r="R81" s="1">
        <f>+R$117*Q81</f>
        <v>11389184.709234353</v>
      </c>
      <c r="S81" s="11">
        <v>2410186</v>
      </c>
      <c r="T81" s="1">
        <f>+T$117*S81</f>
        <v>5213493.053012452</v>
      </c>
      <c r="U81" s="11">
        <v>4742560</v>
      </c>
      <c r="V81" s="1">
        <f>+V$117*U81</f>
        <v>6921206.923086456</v>
      </c>
      <c r="W81" s="11">
        <v>2578267</v>
      </c>
      <c r="X81" s="1">
        <f>+X$117*W81</f>
        <v>4830898.858965369</v>
      </c>
      <c r="Y81" s="11">
        <v>32976589</v>
      </c>
      <c r="Z81" s="1">
        <f>+Z$117*Y81</f>
        <v>41032501.308234654</v>
      </c>
      <c r="AA81">
        <f>+F81+H81+J81+L81+N81+P81+R81+T81+V81+X81+Z81</f>
        <v>190645748.43882892</v>
      </c>
    </row>
    <row r="82" spans="1:26" ht="12.75">
      <c r="A82" s="1" t="s">
        <v>23</v>
      </c>
      <c r="B82" s="1"/>
      <c r="C82" s="11">
        <f>C81/(C80*12)</f>
        <v>2169.0843973599804</v>
      </c>
      <c r="D82" s="1">
        <f>D81/(D80*12)</f>
        <v>2132.89298375412</v>
      </c>
      <c r="E82" s="17"/>
      <c r="F82" s="1">
        <v>0</v>
      </c>
      <c r="G82" s="15"/>
      <c r="H82" s="1">
        <f>H81/(H80*12)</f>
        <v>2312.9921288052724</v>
      </c>
      <c r="I82" s="11"/>
      <c r="J82" s="1">
        <f>J81/(J80*12)</f>
        <v>2447.997677030854</v>
      </c>
      <c r="K82" s="11"/>
      <c r="L82" s="1">
        <f>L81/(L80*12)</f>
        <v>2055.8161703964133</v>
      </c>
      <c r="M82" s="11"/>
      <c r="N82" s="1">
        <f>N81/(N80*12)</f>
        <v>1658.0371609068143</v>
      </c>
      <c r="O82" s="11"/>
      <c r="P82" s="1">
        <f>P81/(P80*12)</f>
        <v>1885.1779857204274</v>
      </c>
      <c r="Q82" s="11"/>
      <c r="R82" s="1">
        <f>R81/(R80*12)</f>
        <v>2750.5344229307625</v>
      </c>
      <c r="S82" s="11"/>
      <c r="T82" s="1">
        <f>T81/(T80*12)</f>
        <v>1291.4679999221269</v>
      </c>
      <c r="U82" s="11"/>
      <c r="V82" s="1">
        <f>V81/(V80*12)</f>
        <v>995.5607937750714</v>
      </c>
      <c r="W82" s="11"/>
      <c r="X82" s="1">
        <f>X81/(X80*12)</f>
        <v>1588.0637857951288</v>
      </c>
      <c r="Y82" s="11"/>
      <c r="Z82" s="1">
        <f>Z81/(Z80*12)</f>
        <v>2575.432592124196</v>
      </c>
    </row>
    <row r="83" spans="1:26" ht="12.75">
      <c r="A83" s="1"/>
      <c r="B83" s="1"/>
      <c r="C83" s="11"/>
      <c r="D83" s="1"/>
      <c r="E83" s="17"/>
      <c r="F83" s="3"/>
      <c r="G83" s="15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 t="s">
        <v>160</v>
      </c>
      <c r="B84" s="1"/>
      <c r="C84" s="11"/>
      <c r="D84" s="1"/>
      <c r="E84" s="17"/>
      <c r="F84" s="1"/>
      <c r="G84" s="11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7" ht="12.75">
      <c r="A85" s="1" t="s">
        <v>18</v>
      </c>
      <c r="B85" s="1"/>
      <c r="C85" s="11">
        <f aca="true" t="shared" si="12" ref="C85:D87">+E85+G85+I85+K85+M85+O85+Q85+S85+U85+W85+Y85</f>
        <v>222</v>
      </c>
      <c r="D85" s="1">
        <f t="shared" si="12"/>
        <v>509.23177998121355</v>
      </c>
      <c r="E85" s="17">
        <v>0</v>
      </c>
      <c r="F85" s="1">
        <f>+F$115*E85</f>
        <v>0</v>
      </c>
      <c r="G85" s="15">
        <v>41</v>
      </c>
      <c r="H85" s="1">
        <f>+H$115*G85</f>
        <v>125.24578651685393</v>
      </c>
      <c r="I85" s="11">
        <v>37</v>
      </c>
      <c r="J85" s="1">
        <f>+J$115*I85</f>
        <v>63.936</v>
      </c>
      <c r="K85" s="11">
        <v>41</v>
      </c>
      <c r="L85" s="1">
        <f>+L$115*K85</f>
        <v>80.99728260869566</v>
      </c>
      <c r="M85" s="11">
        <v>7</v>
      </c>
      <c r="N85" s="1">
        <f>+N$115*M85</f>
        <v>19.727272727272727</v>
      </c>
      <c r="O85" s="11">
        <v>19</v>
      </c>
      <c r="P85" s="1">
        <f>+P$115*O85</f>
        <v>48.186554621848735</v>
      </c>
      <c r="Q85" s="11">
        <v>29</v>
      </c>
      <c r="R85" s="1">
        <f>+R$115*Q85</f>
        <v>87.03780964797913</v>
      </c>
      <c r="S85" s="11">
        <v>4</v>
      </c>
      <c r="T85" s="1">
        <f>+T$115*S85</f>
        <v>8.773480662983426</v>
      </c>
      <c r="U85" s="11">
        <v>17</v>
      </c>
      <c r="V85" s="1">
        <f>+V$115*U85</f>
        <v>32.125984251968504</v>
      </c>
      <c r="W85" s="11">
        <v>12</v>
      </c>
      <c r="X85" s="1">
        <f>+X$115*W85</f>
        <v>24.225705329153605</v>
      </c>
      <c r="Y85" s="11">
        <v>15</v>
      </c>
      <c r="Z85" s="1">
        <f>+Z$115*Y85</f>
        <v>18.97590361445783</v>
      </c>
      <c r="AA85">
        <f>+F85+H85+J85+L85+N85+P85+R85+T85+V85+X85+Z85</f>
        <v>509.23177998121355</v>
      </c>
    </row>
    <row r="86" spans="1:27" ht="12.75">
      <c r="A86" s="1" t="s">
        <v>20</v>
      </c>
      <c r="B86" s="1"/>
      <c r="C86" s="11">
        <f t="shared" si="12"/>
        <v>5424</v>
      </c>
      <c r="D86" s="1">
        <f t="shared" si="12"/>
        <v>7443.6255139878385</v>
      </c>
      <c r="E86" s="17">
        <v>0</v>
      </c>
      <c r="F86" s="1">
        <f>+F$116*E86</f>
        <v>0</v>
      </c>
      <c r="G86" s="15">
        <v>468</v>
      </c>
      <c r="H86" s="1">
        <f>+H$116*G86</f>
        <v>1023.9356749894201</v>
      </c>
      <c r="I86" s="11">
        <v>1773</v>
      </c>
      <c r="J86" s="1">
        <f>+J$116*I86</f>
        <v>1816.7447129909367</v>
      </c>
      <c r="K86" s="11">
        <v>639</v>
      </c>
      <c r="L86" s="1">
        <f>+L$116*K86</f>
        <v>814.7419826364281</v>
      </c>
      <c r="M86" s="11">
        <v>182</v>
      </c>
      <c r="N86" s="1">
        <f>+N$116*M86</f>
        <v>269.25890736342046</v>
      </c>
      <c r="O86" s="11">
        <v>138</v>
      </c>
      <c r="P86" s="1">
        <f>+P$116*O86</f>
        <v>222.82536435694195</v>
      </c>
      <c r="Q86" s="11">
        <v>937</v>
      </c>
      <c r="R86" s="1">
        <f>+R$116*Q86</f>
        <v>1443.397266065389</v>
      </c>
      <c r="S86" s="11">
        <v>92</v>
      </c>
      <c r="T86" s="1">
        <f>+T$116*S86</f>
        <v>249.59164630082202</v>
      </c>
      <c r="U86" s="11">
        <v>375</v>
      </c>
      <c r="V86" s="1">
        <f>+V$116*U86</f>
        <v>548.6165237724084</v>
      </c>
      <c r="W86" s="11">
        <v>57</v>
      </c>
      <c r="X86" s="1">
        <f>+X$116*W86</f>
        <v>108.64305555555556</v>
      </c>
      <c r="Y86" s="11">
        <v>763</v>
      </c>
      <c r="Z86" s="1">
        <f>+Z$116*Y86</f>
        <v>945.8703799565172</v>
      </c>
      <c r="AA86">
        <f>+F86+H86+J86+L86+N86+P86+R86+T86+V86+X86+Z86</f>
        <v>7443.6255139878385</v>
      </c>
    </row>
    <row r="87" spans="1:27" ht="12.75">
      <c r="A87" s="1" t="s">
        <v>21</v>
      </c>
      <c r="B87" s="1"/>
      <c r="C87" s="11">
        <f t="shared" si="12"/>
        <v>155997207</v>
      </c>
      <c r="D87" s="1">
        <f t="shared" si="12"/>
        <v>217903284.80037212</v>
      </c>
      <c r="E87" s="17">
        <v>0</v>
      </c>
      <c r="F87" s="1">
        <f>+F$117*E87</f>
        <v>0</v>
      </c>
      <c r="G87" s="15">
        <v>14379091</v>
      </c>
      <c r="H87" s="1">
        <f>+H$117*G87</f>
        <v>30796953.61113618</v>
      </c>
      <c r="I87" s="11">
        <v>54743992</v>
      </c>
      <c r="J87" s="1">
        <f>+J$117*I87</f>
        <v>59191317.69486067</v>
      </c>
      <c r="K87" s="11">
        <v>14698586</v>
      </c>
      <c r="L87" s="1">
        <f>+L$117*K87</f>
        <v>18326672.071546786</v>
      </c>
      <c r="M87" s="11">
        <v>8477315</v>
      </c>
      <c r="N87" s="1">
        <f>+N$117*M87</f>
        <v>11884406.712742712</v>
      </c>
      <c r="O87" s="11">
        <v>6381968</v>
      </c>
      <c r="P87" s="1">
        <f>+P$117*O87</f>
        <v>10144975.54467929</v>
      </c>
      <c r="Q87" s="11">
        <v>33831334</v>
      </c>
      <c r="R87" s="1">
        <f>+R$117*Q87</f>
        <v>55401536.02623197</v>
      </c>
      <c r="S87" s="11">
        <v>1401328</v>
      </c>
      <c r="T87" s="1">
        <f>+T$117*S87</f>
        <v>3031224.060297352</v>
      </c>
      <c r="U87" s="11">
        <v>3435183</v>
      </c>
      <c r="V87" s="1">
        <f>+V$117*U87</f>
        <v>5013244.400001033</v>
      </c>
      <c r="W87" s="11">
        <v>1444039</v>
      </c>
      <c r="X87" s="1">
        <f>+X$117*W87</f>
        <v>2705695.8636950683</v>
      </c>
      <c r="Y87" s="11">
        <v>17204371</v>
      </c>
      <c r="Z87" s="1">
        <f>+Z$117*Y87</f>
        <v>21407258.815181106</v>
      </c>
      <c r="AA87">
        <f>+F87+H87+J87+L87+N87+P87+R87+T87+V87+X87+Z87</f>
        <v>217903284.80037212</v>
      </c>
    </row>
    <row r="88" spans="1:26" ht="12.75">
      <c r="A88" s="1" t="s">
        <v>23</v>
      </c>
      <c r="B88" s="1"/>
      <c r="C88" s="11">
        <f>C87/(C86*12)</f>
        <v>2396.712251106195</v>
      </c>
      <c r="D88" s="1">
        <f>D87/(D86*12)</f>
        <v>2439.4842315179026</v>
      </c>
      <c r="E88" s="17"/>
      <c r="F88" s="1">
        <v>0</v>
      </c>
      <c r="G88" s="15"/>
      <c r="H88" s="1">
        <f>H87/(H86*12)</f>
        <v>2506.4199476735025</v>
      </c>
      <c r="I88" s="11"/>
      <c r="J88" s="1">
        <f>J87/(J86*12)</f>
        <v>2715.081416025931</v>
      </c>
      <c r="K88" s="11"/>
      <c r="L88" s="1">
        <f>L87/(L86*12)</f>
        <v>1874.4862854457926</v>
      </c>
      <c r="M88" s="11"/>
      <c r="N88" s="1">
        <f>N87/(N86*12)</f>
        <v>3678.122427813271</v>
      </c>
      <c r="O88" s="11"/>
      <c r="P88" s="1">
        <f>P87/(P86*12)</f>
        <v>3794.068198488445</v>
      </c>
      <c r="Q88" s="11"/>
      <c r="R88" s="1">
        <f>R87/(R86*12)</f>
        <v>3198.5613229251558</v>
      </c>
      <c r="S88" s="11"/>
      <c r="T88" s="1">
        <f>T87/(T86*12)</f>
        <v>1012.0611357334013</v>
      </c>
      <c r="U88" s="11"/>
      <c r="V88" s="1">
        <f>V87/(V86*12)</f>
        <v>761.4979654533033</v>
      </c>
      <c r="W88" s="11"/>
      <c r="X88" s="1">
        <f>X87/(X86*12)</f>
        <v>2075.3710778377726</v>
      </c>
      <c r="Y88" s="11"/>
      <c r="Z88" s="1">
        <f>Z87/(Z86*12)</f>
        <v>1886.0282258552545</v>
      </c>
    </row>
    <row r="89" spans="1:26" ht="12.75">
      <c r="A89" s="1"/>
      <c r="B89" s="1"/>
      <c r="C89" s="11"/>
      <c r="D89" s="1"/>
      <c r="E89" s="17"/>
      <c r="F89" s="1"/>
      <c r="G89" s="15"/>
      <c r="H89" s="1"/>
      <c r="I89" s="11"/>
      <c r="J89" s="1"/>
      <c r="K89" s="11"/>
      <c r="L89" s="1"/>
      <c r="M89" s="11"/>
      <c r="N89" s="1"/>
      <c r="O89" s="11"/>
      <c r="P89" s="1"/>
      <c r="Q89" s="11"/>
      <c r="R89" s="1"/>
      <c r="S89" s="11"/>
      <c r="T89" s="1"/>
      <c r="U89" s="11"/>
      <c r="V89" s="1"/>
      <c r="W89" s="11"/>
      <c r="X89" s="1"/>
      <c r="Y89" s="11"/>
      <c r="Z89" s="1"/>
    </row>
    <row r="90" spans="1:26" ht="12.75">
      <c r="A90" s="1"/>
      <c r="B90" s="1"/>
      <c r="C90" s="11"/>
      <c r="D90" s="1"/>
      <c r="E90" s="17"/>
      <c r="F90" s="1"/>
      <c r="G90" s="15"/>
      <c r="H90" s="1"/>
      <c r="I90" s="11"/>
      <c r="J90" s="1"/>
      <c r="K90" s="11"/>
      <c r="L90" s="1"/>
      <c r="M90" s="11"/>
      <c r="N90" s="1"/>
      <c r="O90" s="11"/>
      <c r="P90" s="1"/>
      <c r="Q90" s="11"/>
      <c r="R90" s="1"/>
      <c r="S90" s="11"/>
      <c r="T90" s="1"/>
      <c r="U90" s="11"/>
      <c r="V90" s="1"/>
      <c r="W90" s="11"/>
      <c r="X90" s="1"/>
      <c r="Y90" s="11"/>
      <c r="Z90" s="1"/>
    </row>
    <row r="91" spans="12:26" ht="12.75">
      <c r="L91" t="s">
        <v>197</v>
      </c>
      <c r="Y91" s="10" t="s">
        <v>62</v>
      </c>
      <c r="Z91" s="1"/>
    </row>
    <row r="92" spans="16:26" ht="12.75">
      <c r="P92" t="s">
        <v>200</v>
      </c>
      <c r="Z92" s="1"/>
    </row>
    <row r="93" ht="12.75">
      <c r="Z93" s="1"/>
    </row>
    <row r="94" spans="1:26" ht="12.75">
      <c r="A94" s="1"/>
      <c r="B94" s="1"/>
      <c r="C94" s="11"/>
      <c r="D94" s="1"/>
      <c r="E94" s="17"/>
      <c r="F94" s="1"/>
      <c r="G94" s="11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1"/>
      <c r="D95" s="2"/>
      <c r="E95" s="17"/>
      <c r="F95" s="1"/>
      <c r="G95" s="11"/>
      <c r="H95" s="1"/>
      <c r="I95" s="11"/>
      <c r="J95" s="1"/>
      <c r="K95" s="11"/>
      <c r="L95" s="1" t="s">
        <v>124</v>
      </c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1"/>
      <c r="D96" s="1"/>
      <c r="E96" s="17"/>
      <c r="F96" s="1"/>
      <c r="G96" s="11"/>
      <c r="H96" s="1"/>
      <c r="I96" s="11"/>
      <c r="J96" s="1"/>
      <c r="K96" s="11"/>
      <c r="L96" s="1" t="s">
        <v>187</v>
      </c>
      <c r="M96" s="11"/>
      <c r="N96" s="1"/>
      <c r="O96" s="11"/>
      <c r="P96" s="2" t="s">
        <v>128</v>
      </c>
      <c r="Q96" s="12"/>
      <c r="R96" s="1" t="s">
        <v>129</v>
      </c>
      <c r="S96" s="11"/>
      <c r="T96" s="2" t="s">
        <v>131</v>
      </c>
      <c r="U96" s="12"/>
      <c r="V96" s="2" t="s">
        <v>133</v>
      </c>
      <c r="W96" s="12"/>
      <c r="X96" s="2" t="s">
        <v>140</v>
      </c>
      <c r="Y96" s="12"/>
      <c r="Z96" s="1"/>
    </row>
    <row r="97" spans="1:26" ht="12.75">
      <c r="A97" s="1" t="s">
        <v>185</v>
      </c>
      <c r="B97" s="1"/>
      <c r="C97" s="11"/>
      <c r="D97" s="2" t="s">
        <v>184</v>
      </c>
      <c r="E97" s="18" t="s">
        <v>144</v>
      </c>
      <c r="F97" s="2" t="s">
        <v>7</v>
      </c>
      <c r="G97" s="11" t="s">
        <v>145</v>
      </c>
      <c r="H97" s="1" t="s">
        <v>8</v>
      </c>
      <c r="I97" s="11" t="s">
        <v>146</v>
      </c>
      <c r="J97" s="2" t="s">
        <v>9</v>
      </c>
      <c r="K97" s="11" t="s">
        <v>147</v>
      </c>
      <c r="L97" s="1" t="s">
        <v>125</v>
      </c>
      <c r="M97" s="11" t="s">
        <v>148</v>
      </c>
      <c r="N97" s="2" t="s">
        <v>126</v>
      </c>
      <c r="O97" s="12" t="s">
        <v>149</v>
      </c>
      <c r="P97" s="2" t="s">
        <v>127</v>
      </c>
      <c r="Q97" s="12" t="s">
        <v>150</v>
      </c>
      <c r="R97" s="1" t="s">
        <v>130</v>
      </c>
      <c r="S97" s="11" t="s">
        <v>151</v>
      </c>
      <c r="T97" s="2" t="s">
        <v>132</v>
      </c>
      <c r="U97" s="12" t="s">
        <v>152</v>
      </c>
      <c r="V97" s="2" t="s">
        <v>134</v>
      </c>
      <c r="W97" s="12" t="s">
        <v>153</v>
      </c>
      <c r="X97" s="2" t="s">
        <v>141</v>
      </c>
      <c r="Y97" s="12" t="s">
        <v>154</v>
      </c>
      <c r="Z97" s="2" t="s">
        <v>94</v>
      </c>
    </row>
    <row r="98" spans="1:26" ht="12.75">
      <c r="A98" s="1"/>
      <c r="B98" s="1"/>
      <c r="C98" s="11"/>
      <c r="D98" s="1"/>
      <c r="E98" s="17"/>
      <c r="F98" s="1"/>
      <c r="G98" s="15"/>
      <c r="H98" s="1"/>
      <c r="I98" s="11"/>
      <c r="J98" s="1"/>
      <c r="K98" s="11"/>
      <c r="L98" s="1"/>
      <c r="M98" s="11"/>
      <c r="N98" s="1"/>
      <c r="O98" s="11"/>
      <c r="P98" s="1"/>
      <c r="Q98" s="11"/>
      <c r="R98" s="1"/>
      <c r="S98" s="11"/>
      <c r="T98" s="1"/>
      <c r="U98" s="11"/>
      <c r="V98" s="1"/>
      <c r="W98" s="11"/>
      <c r="X98" s="1"/>
      <c r="Y98" s="11"/>
      <c r="Z98" s="1"/>
    </row>
    <row r="99" spans="1:2" ht="12.75">
      <c r="A99" s="1" t="s">
        <v>180</v>
      </c>
      <c r="B99" s="1"/>
    </row>
    <row r="100" spans="1:27" ht="12.75">
      <c r="A100" s="1" t="s">
        <v>18</v>
      </c>
      <c r="B100" s="1"/>
      <c r="C100" s="11">
        <f aca="true" t="shared" si="13" ref="C100:D102">+E100+G100+I100+K100+M100+O100+Q100+S100+U100+W100+Y100</f>
        <v>190</v>
      </c>
      <c r="D100" s="1">
        <f t="shared" si="13"/>
        <v>471.1028177842803</v>
      </c>
      <c r="E100" s="17">
        <v>0</v>
      </c>
      <c r="F100" s="1">
        <f>+F$115*E100</f>
        <v>0</v>
      </c>
      <c r="G100" s="15">
        <v>40</v>
      </c>
      <c r="H100" s="1">
        <f>+H$115*G100</f>
        <v>122.19101123595506</v>
      </c>
      <c r="I100" s="11">
        <v>7</v>
      </c>
      <c r="J100" s="1">
        <f>+J$115*I100</f>
        <v>12.096</v>
      </c>
      <c r="K100" s="11">
        <v>28</v>
      </c>
      <c r="L100" s="1">
        <f>+L$115*K100</f>
        <v>55.31521739130435</v>
      </c>
      <c r="M100" s="11">
        <v>2</v>
      </c>
      <c r="N100" s="1">
        <f>+N$115*M100</f>
        <v>5.636363636363637</v>
      </c>
      <c r="O100" s="11">
        <v>27</v>
      </c>
      <c r="P100" s="1">
        <f>+P$115*O100</f>
        <v>68.47563025210084</v>
      </c>
      <c r="Q100" s="11">
        <v>40</v>
      </c>
      <c r="R100" s="1">
        <f>+R$115*Q100</f>
        <v>120.0521512385919</v>
      </c>
      <c r="S100" s="11">
        <v>21</v>
      </c>
      <c r="T100" s="1">
        <f>+T$115*S100</f>
        <v>46.06077348066299</v>
      </c>
      <c r="U100" s="11">
        <v>7</v>
      </c>
      <c r="V100" s="1">
        <f>+V$115*U100</f>
        <v>13.228346456692913</v>
      </c>
      <c r="W100" s="11">
        <v>7</v>
      </c>
      <c r="X100" s="1">
        <f>+X$115*W100</f>
        <v>14.13166144200627</v>
      </c>
      <c r="Y100" s="11">
        <v>11</v>
      </c>
      <c r="Z100" s="1">
        <f>+Z$115*Y100</f>
        <v>13.915662650602409</v>
      </c>
      <c r="AA100">
        <f>+F100+H100+J100+L100+N100+P100+R100+T100+V100+X100+Z100</f>
        <v>471.1028177842803</v>
      </c>
    </row>
    <row r="101" spans="1:27" ht="12.75">
      <c r="A101" s="1" t="s">
        <v>20</v>
      </c>
      <c r="B101" s="1"/>
      <c r="C101" s="11">
        <f t="shared" si="13"/>
        <v>1691</v>
      </c>
      <c r="D101" s="1">
        <f t="shared" si="13"/>
        <v>2428.3585297837326</v>
      </c>
      <c r="E101" s="17">
        <v>0</v>
      </c>
      <c r="F101" s="1">
        <f>+F$116*E101</f>
        <v>0</v>
      </c>
      <c r="G101" s="15">
        <v>203</v>
      </c>
      <c r="H101" s="1">
        <f>+H$116*G101</f>
        <v>444.1430385103681</v>
      </c>
      <c r="I101" s="11">
        <v>322</v>
      </c>
      <c r="J101" s="1">
        <f>+J$116*I101</f>
        <v>329.94461228600204</v>
      </c>
      <c r="K101" s="11">
        <v>368</v>
      </c>
      <c r="L101" s="1">
        <f>+L$116*K101</f>
        <v>469.20978029766127</v>
      </c>
      <c r="M101" s="11">
        <v>3</v>
      </c>
      <c r="N101" s="1">
        <f>+N$116*M101</f>
        <v>4.4383336378585785</v>
      </c>
      <c r="O101" s="11">
        <v>96</v>
      </c>
      <c r="P101" s="1">
        <f>+P$116*O101</f>
        <v>155.00894911787265</v>
      </c>
      <c r="Q101" s="11">
        <v>171</v>
      </c>
      <c r="R101" s="1">
        <f>+R$116*Q101</f>
        <v>263.4161499436302</v>
      </c>
      <c r="S101" s="11">
        <v>48</v>
      </c>
      <c r="T101" s="1">
        <f>+T$116*S101</f>
        <v>130.2217285047767</v>
      </c>
      <c r="U101" s="11">
        <v>52</v>
      </c>
      <c r="V101" s="1">
        <f>+V$116*U101</f>
        <v>76.07482462977396</v>
      </c>
      <c r="W101" s="11">
        <v>38</v>
      </c>
      <c r="X101" s="1">
        <f>+X$116*W101</f>
        <v>72.4287037037037</v>
      </c>
      <c r="Y101" s="11">
        <v>390</v>
      </c>
      <c r="Z101" s="1">
        <f>+Z$116*Y101</f>
        <v>483.47240915208613</v>
      </c>
      <c r="AA101">
        <f>+F101+H101+J101+L101+N101+P101+R101+T101+V101+X101+Z101</f>
        <v>2428.3585297837326</v>
      </c>
    </row>
    <row r="102" spans="1:27" ht="12.75">
      <c r="A102" s="1" t="s">
        <v>21</v>
      </c>
      <c r="B102" s="1"/>
      <c r="C102" s="11">
        <f t="shared" si="13"/>
        <v>40243732</v>
      </c>
      <c r="D102" s="1">
        <f t="shared" si="13"/>
        <v>60195392.07660042</v>
      </c>
      <c r="E102" s="17">
        <v>0</v>
      </c>
      <c r="F102" s="1">
        <f>+F$117*E102</f>
        <v>0</v>
      </c>
      <c r="G102" s="15">
        <v>5935503</v>
      </c>
      <c r="H102" s="1">
        <f>+H$117*G102</f>
        <v>12712584.581998933</v>
      </c>
      <c r="I102" s="11">
        <v>5048299</v>
      </c>
      <c r="J102" s="1">
        <f>+J$117*I102</f>
        <v>5458415.782459698</v>
      </c>
      <c r="K102" s="11">
        <v>6131195</v>
      </c>
      <c r="L102" s="1">
        <f>+L$117*K102</f>
        <v>7644572.081403428</v>
      </c>
      <c r="M102" s="11">
        <v>39596</v>
      </c>
      <c r="N102" s="1">
        <f>+N$117*M102</f>
        <v>55509.90711065478</v>
      </c>
      <c r="O102" s="11">
        <v>3820998</v>
      </c>
      <c r="P102" s="1">
        <f>+P$117*O102</f>
        <v>6073977.692503077</v>
      </c>
      <c r="Q102" s="11">
        <v>5398247</v>
      </c>
      <c r="R102" s="1">
        <f>+R$117*Q102</f>
        <v>8840064.528611217</v>
      </c>
      <c r="S102" s="11">
        <v>1907416</v>
      </c>
      <c r="T102" s="1">
        <f>+T$117*S102</f>
        <v>4125947.153126273</v>
      </c>
      <c r="U102" s="11">
        <v>233276</v>
      </c>
      <c r="V102" s="1">
        <f>+V$117*U102</f>
        <v>340438.8065074382</v>
      </c>
      <c r="W102" s="11">
        <v>555015</v>
      </c>
      <c r="X102" s="1">
        <f>+X$117*W102</f>
        <v>1039931.6014240046</v>
      </c>
      <c r="Y102" s="11">
        <v>11174187</v>
      </c>
      <c r="Z102" s="1">
        <f>+Z$117*Y102</f>
        <v>13903949.9414557</v>
      </c>
      <c r="AA102">
        <f>+F102+H102+J102+L102+N102+P102+R102+T102+V102+X102+Z102</f>
        <v>60195392.07660042</v>
      </c>
    </row>
    <row r="103" spans="1:26" ht="12.75">
      <c r="A103" s="1" t="s">
        <v>23</v>
      </c>
      <c r="B103" s="1"/>
      <c r="C103" s="11">
        <f>C102/(C101*12)</f>
        <v>1983.2314212497536</v>
      </c>
      <c r="D103" s="1">
        <f>D102/(D101*12)</f>
        <v>2065.709248253708</v>
      </c>
      <c r="E103" s="17"/>
      <c r="F103" s="1">
        <v>0</v>
      </c>
      <c r="G103" s="15"/>
      <c r="H103" s="1">
        <f>H102/(H101*12)</f>
        <v>2385.2271827855766</v>
      </c>
      <c r="I103" s="11"/>
      <c r="J103" s="1">
        <f>J102/(J101*12)</f>
        <v>1378.6192134495395</v>
      </c>
      <c r="K103" s="11"/>
      <c r="L103" s="1">
        <f>L102/(L101*12)</f>
        <v>1357.7033135288655</v>
      </c>
      <c r="M103" s="11"/>
      <c r="N103" s="1">
        <f>N102/(N101*12)</f>
        <v>1042.2437720987664</v>
      </c>
      <c r="O103" s="11"/>
      <c r="P103" s="1">
        <f>P102/(P101*12)</f>
        <v>3265.390873166229</v>
      </c>
      <c r="Q103" s="11"/>
      <c r="R103" s="1">
        <f>R102/(R101*12)</f>
        <v>2796.6092595635423</v>
      </c>
      <c r="S103" s="11"/>
      <c r="T103" s="1">
        <f>T102/(T101*12)</f>
        <v>2640.3345538035715</v>
      </c>
      <c r="U103" s="11"/>
      <c r="V103" s="1">
        <f>V102/(V101*12)</f>
        <v>372.92101139045127</v>
      </c>
      <c r="W103" s="11"/>
      <c r="X103" s="1">
        <f>X102/(X101*12)</f>
        <v>1196.5003148455112</v>
      </c>
      <c r="Y103" s="11"/>
      <c r="Z103" s="1">
        <f>Z102/(Z101*12)</f>
        <v>2396.5431598327823</v>
      </c>
    </row>
    <row r="104" spans="1:2" ht="12.75">
      <c r="A104" s="1"/>
      <c r="B104" s="1"/>
    </row>
    <row r="105" spans="1:26" ht="12.75">
      <c r="A105" s="1" t="s">
        <v>181</v>
      </c>
      <c r="B105" s="1"/>
      <c r="C105" s="11"/>
      <c r="D105" s="1"/>
      <c r="E105" s="17"/>
      <c r="F105" s="1"/>
      <c r="G105" s="11"/>
      <c r="H105" s="1"/>
      <c r="I105" s="11"/>
      <c r="J105" s="1"/>
      <c r="K105" s="11"/>
      <c r="L105" s="1"/>
      <c r="M105" s="11"/>
      <c r="N105" s="1"/>
      <c r="P105" s="1"/>
      <c r="R105" s="1"/>
      <c r="T105" s="1"/>
      <c r="V105" s="1"/>
      <c r="X105" s="1"/>
      <c r="Z105" s="1"/>
    </row>
    <row r="106" spans="1:27" ht="12.75">
      <c r="A106" s="1" t="s">
        <v>18</v>
      </c>
      <c r="B106" s="1"/>
      <c r="C106" s="11">
        <f aca="true" t="shared" si="14" ref="C106:D108">+E106+G106+I106+K106+M106+O106+Q106+S106+U106+W106+Y106</f>
        <v>85</v>
      </c>
      <c r="D106" s="1">
        <f t="shared" si="14"/>
        <v>203.95563385022663</v>
      </c>
      <c r="E106" s="17">
        <v>0</v>
      </c>
      <c r="F106" s="1">
        <f>+F$115*E106</f>
        <v>0</v>
      </c>
      <c r="G106" s="15">
        <v>21</v>
      </c>
      <c r="H106" s="1">
        <f>+H$115*G106</f>
        <v>64.1502808988764</v>
      </c>
      <c r="I106" s="11">
        <v>13</v>
      </c>
      <c r="J106" s="1">
        <f>+J$115*I106</f>
        <v>22.464</v>
      </c>
      <c r="K106" s="11">
        <v>12</v>
      </c>
      <c r="L106" s="1">
        <f>+L$115*K106</f>
        <v>23.706521739130437</v>
      </c>
      <c r="M106" s="11">
        <v>2</v>
      </c>
      <c r="N106" s="1">
        <f>+N$115*M106</f>
        <v>5.636363636363637</v>
      </c>
      <c r="O106" s="11">
        <v>7</v>
      </c>
      <c r="P106" s="1">
        <f>+P$115*O106</f>
        <v>17.752941176470586</v>
      </c>
      <c r="Q106" s="11">
        <v>15</v>
      </c>
      <c r="R106" s="1">
        <f>+R$115*Q106</f>
        <v>45.01955671447197</v>
      </c>
      <c r="S106" s="11">
        <v>2</v>
      </c>
      <c r="T106" s="1">
        <f>+T$115*S106</f>
        <v>4.386740331491713</v>
      </c>
      <c r="U106" s="11">
        <v>1</v>
      </c>
      <c r="V106" s="1">
        <f>+V$115*U106</f>
        <v>1.889763779527559</v>
      </c>
      <c r="W106" s="11">
        <v>5</v>
      </c>
      <c r="X106" s="1">
        <f>+X$115*W106</f>
        <v>10.094043887147334</v>
      </c>
      <c r="Y106" s="11">
        <v>7</v>
      </c>
      <c r="Z106" s="1">
        <f>+Z$115*Y106</f>
        <v>8.855421686746988</v>
      </c>
      <c r="AA106">
        <f>+F106+H106+J106+L106+N106+P106+R106+T106+V106+X106+Z106</f>
        <v>203.95563385022663</v>
      </c>
    </row>
    <row r="107" spans="1:27" ht="12.75">
      <c r="A107" s="1" t="s">
        <v>20</v>
      </c>
      <c r="B107" s="1"/>
      <c r="C107" s="11">
        <f t="shared" si="14"/>
        <v>522</v>
      </c>
      <c r="D107" s="1">
        <f t="shared" si="14"/>
        <v>752.8688855443236</v>
      </c>
      <c r="E107" s="17">
        <v>0</v>
      </c>
      <c r="F107" s="1">
        <f>+F$116*E107</f>
        <v>0</v>
      </c>
      <c r="G107" s="15">
        <v>86</v>
      </c>
      <c r="H107" s="1">
        <f>+H$116*G107</f>
        <v>188.1591197630131</v>
      </c>
      <c r="I107" s="11">
        <v>149</v>
      </c>
      <c r="J107" s="1">
        <f>+J$116*I107</f>
        <v>152.67623363544814</v>
      </c>
      <c r="K107" s="11">
        <v>49</v>
      </c>
      <c r="L107" s="1">
        <f>+L$116*K107</f>
        <v>62.476302267895115</v>
      </c>
      <c r="M107" s="11">
        <v>33</v>
      </c>
      <c r="N107" s="1">
        <f>+N$116*M107</f>
        <v>48.821670016444365</v>
      </c>
      <c r="O107" s="11">
        <v>17</v>
      </c>
      <c r="P107" s="1">
        <f>+P$116*O107</f>
        <v>27.44950140628995</v>
      </c>
      <c r="Q107" s="11">
        <v>52</v>
      </c>
      <c r="R107" s="1">
        <f>+R$116*Q107</f>
        <v>80.10315670800452</v>
      </c>
      <c r="S107" s="11">
        <v>9</v>
      </c>
      <c r="T107" s="1">
        <f>+T$116*S107</f>
        <v>24.416574094645632</v>
      </c>
      <c r="U107" s="11">
        <v>0</v>
      </c>
      <c r="V107" s="1">
        <f>+V$116*U107</f>
        <v>0</v>
      </c>
      <c r="W107" s="11">
        <v>17</v>
      </c>
      <c r="X107" s="1">
        <f>+X$116*W107</f>
        <v>32.402314814814815</v>
      </c>
      <c r="Y107" s="11">
        <v>110</v>
      </c>
      <c r="Z107" s="1">
        <f>+Z$116*Y107</f>
        <v>136.3640128377679</v>
      </c>
      <c r="AA107">
        <f>+F107+H107+J107+L107+N107+P107+R107+T107+V107+X107+Z107</f>
        <v>752.8688855443236</v>
      </c>
    </row>
    <row r="108" spans="1:27" ht="12.75">
      <c r="A108" s="1" t="s">
        <v>21</v>
      </c>
      <c r="B108" s="1"/>
      <c r="C108" s="11">
        <f t="shared" si="14"/>
        <v>13730644</v>
      </c>
      <c r="D108" s="1">
        <f t="shared" si="14"/>
        <v>19150373.48121909</v>
      </c>
      <c r="E108" s="17">
        <v>0</v>
      </c>
      <c r="F108" s="1">
        <f>+F$117*E108</f>
        <v>0</v>
      </c>
      <c r="G108" s="15">
        <v>2139497</v>
      </c>
      <c r="H108" s="1">
        <f>+H$117*G108</f>
        <v>4582347.372317556</v>
      </c>
      <c r="I108" s="11">
        <v>5513086</v>
      </c>
      <c r="J108" s="1">
        <f>+J$117*I108</f>
        <v>5960961.431257856</v>
      </c>
      <c r="K108" s="11">
        <v>662800</v>
      </c>
      <c r="L108" s="1">
        <f>+L$117*K108</f>
        <v>826400.4611750551</v>
      </c>
      <c r="M108" s="11">
        <v>685309</v>
      </c>
      <c r="N108" s="1">
        <f>+N$117*M108</f>
        <v>960739.4416631911</v>
      </c>
      <c r="O108" s="11">
        <v>267217</v>
      </c>
      <c r="P108" s="1">
        <f>+P$117*O108</f>
        <v>424776.4843262401</v>
      </c>
      <c r="Q108" s="11">
        <v>1331188</v>
      </c>
      <c r="R108" s="1">
        <f>+R$117*Q108</f>
        <v>2179927.635714503</v>
      </c>
      <c r="S108" s="11">
        <v>118423</v>
      </c>
      <c r="T108" s="1">
        <f>+T$117*S108</f>
        <v>256161.76005374422</v>
      </c>
      <c r="U108" s="11">
        <v>3800</v>
      </c>
      <c r="V108" s="1">
        <f>+V$117*U108</f>
        <v>5545.651780415753</v>
      </c>
      <c r="W108" s="11">
        <v>332115</v>
      </c>
      <c r="X108" s="1">
        <f>+X$117*W108</f>
        <v>622283.8730609682</v>
      </c>
      <c r="Y108" s="11">
        <v>2677209</v>
      </c>
      <c r="Z108" s="1">
        <f>+Z$117*Y108</f>
        <v>3331229.3698695637</v>
      </c>
      <c r="AA108">
        <f>+F108+H108+J108+L108+N108+P108+R108+T108+V108+X108+Z108</f>
        <v>19150373.48121909</v>
      </c>
    </row>
    <row r="109" spans="1:26" ht="12.75">
      <c r="A109" s="1" t="s">
        <v>23</v>
      </c>
      <c r="B109" s="1"/>
      <c r="C109" s="11">
        <f>C108/(C107*12)</f>
        <v>2191.9929757343552</v>
      </c>
      <c r="D109" s="1">
        <f>D108/(D107*12)</f>
        <v>2119.7109980371265</v>
      </c>
      <c r="E109" s="17"/>
      <c r="F109" s="1">
        <v>0</v>
      </c>
      <c r="G109" s="15"/>
      <c r="H109" s="1">
        <f>H108/(H107*12)</f>
        <v>2029.4646441130228</v>
      </c>
      <c r="I109" s="11"/>
      <c r="J109" s="1">
        <f>J108/(J107*12)</f>
        <v>3253.5960189079537</v>
      </c>
      <c r="K109" s="11"/>
      <c r="L109" s="1">
        <f>L108/(L107*12)</f>
        <v>1102.2852281273695</v>
      </c>
      <c r="M109" s="11"/>
      <c r="N109" s="1">
        <f>N108/(N107*12)</f>
        <v>1639.8787692357203</v>
      </c>
      <c r="O109" s="11"/>
      <c r="P109" s="1">
        <f>P108/(P107*12)</f>
        <v>1289.5695202831146</v>
      </c>
      <c r="Q109" s="11"/>
      <c r="R109" s="1">
        <f>R108/(R107*12)</f>
        <v>2267.8336756657304</v>
      </c>
      <c r="S109" s="11"/>
      <c r="T109" s="1">
        <f>T108/(T107*12)</f>
        <v>874.2755332941327</v>
      </c>
      <c r="U109" s="11"/>
      <c r="V109" s="1" t="e">
        <f>V108/(V107*12)</f>
        <v>#DIV/0!</v>
      </c>
      <c r="W109" s="11"/>
      <c r="X109" s="1">
        <f>X108/(X107*12)</f>
        <v>1600.4100237319333</v>
      </c>
      <c r="Y109" s="11"/>
      <c r="Z109" s="1">
        <f>Z108/(Z107*12)</f>
        <v>2035.74566127937</v>
      </c>
    </row>
    <row r="110" spans="1:26" ht="12.75">
      <c r="A110" s="1"/>
      <c r="B110" s="1"/>
      <c r="C110" s="11"/>
      <c r="D110" s="1"/>
      <c r="E110" s="17"/>
      <c r="F110" s="1"/>
      <c r="G110" s="11"/>
      <c r="H110" s="1"/>
      <c r="I110" s="11"/>
      <c r="J110" s="1"/>
      <c r="K110" s="11"/>
      <c r="L110" s="1"/>
      <c r="M110" s="11"/>
      <c r="N110" s="1"/>
      <c r="O110" s="11"/>
      <c r="P110" s="1"/>
      <c r="Q110" s="11"/>
      <c r="R110" s="1"/>
      <c r="S110" s="11"/>
      <c r="T110" s="1"/>
      <c r="U110" s="11"/>
      <c r="V110" s="1"/>
      <c r="W110" s="11"/>
      <c r="X110" s="1"/>
      <c r="Y110" s="11"/>
      <c r="Z110" s="1"/>
    </row>
    <row r="111" spans="1:27" ht="12.75">
      <c r="A111" s="1" t="s">
        <v>183</v>
      </c>
      <c r="B111" s="1"/>
      <c r="C111" s="11"/>
      <c r="D111" s="1"/>
      <c r="E111" s="17"/>
      <c r="F111" s="1"/>
      <c r="G111" s="11"/>
      <c r="H111" s="1"/>
      <c r="I111" s="11"/>
      <c r="J111" s="1"/>
      <c r="K111" s="11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  <c r="AA111" t="e">
        <f>+F79+H79+J79+#REF!+#REF!+#REF!+#REF!+#REF!+#REF!+#REF!+#REF!</f>
        <v>#REF!</v>
      </c>
    </row>
    <row r="112" spans="1:26" ht="12.75">
      <c r="A112" s="1"/>
      <c r="B112" s="1"/>
      <c r="C112" s="11"/>
      <c r="D112" s="1"/>
      <c r="E112" s="17"/>
      <c r="F112" s="1"/>
      <c r="G112" s="11"/>
      <c r="H112" s="1"/>
      <c r="I112" s="11"/>
      <c r="J112" s="1"/>
      <c r="K112" s="11"/>
      <c r="L112" s="1"/>
      <c r="M112" s="11"/>
      <c r="N112" s="1"/>
      <c r="O112" s="11"/>
      <c r="P112" s="1"/>
      <c r="Q112" s="11"/>
      <c r="R112" s="1"/>
      <c r="S112" s="11"/>
      <c r="T112" s="1"/>
      <c r="U112" s="11"/>
      <c r="V112" s="1"/>
      <c r="W112" s="11"/>
      <c r="X112" s="1"/>
      <c r="Y112" s="11"/>
      <c r="Z112" s="1"/>
    </row>
    <row r="113" spans="1:26" ht="12.75">
      <c r="A113" s="1"/>
      <c r="B113" s="1"/>
      <c r="C113" s="11"/>
      <c r="D113" s="1"/>
      <c r="E113" s="17"/>
      <c r="F113" s="1"/>
      <c r="G113" s="11"/>
      <c r="H113" s="1"/>
      <c r="I113" s="11"/>
      <c r="J113" s="1"/>
      <c r="K113" s="11"/>
      <c r="L113" s="1"/>
      <c r="M113" s="11"/>
      <c r="N113" s="1"/>
      <c r="O113" s="11"/>
      <c r="P113" s="1"/>
      <c r="Q113" s="11"/>
      <c r="R113" s="1"/>
      <c r="S113" s="11"/>
      <c r="T113" s="1"/>
      <c r="U113" s="11"/>
      <c r="V113" s="1"/>
      <c r="W113" s="11"/>
      <c r="X113" s="1"/>
      <c r="Y113" s="11"/>
      <c r="Z113" s="1"/>
    </row>
    <row r="114" spans="5:27" ht="12.75">
      <c r="E114" s="16" t="s">
        <v>178</v>
      </c>
      <c r="F114" t="s">
        <v>179</v>
      </c>
      <c r="G114" s="10" t="s">
        <v>178</v>
      </c>
      <c r="H114" t="s">
        <v>179</v>
      </c>
      <c r="I114" s="10" t="s">
        <v>178</v>
      </c>
      <c r="J114" t="s">
        <v>179</v>
      </c>
      <c r="K114" s="10" t="s">
        <v>178</v>
      </c>
      <c r="L114" t="s">
        <v>179</v>
      </c>
      <c r="M114" s="10" t="s">
        <v>178</v>
      </c>
      <c r="N114" t="s">
        <v>179</v>
      </c>
      <c r="O114" s="10" t="s">
        <v>178</v>
      </c>
      <c r="P114" t="s">
        <v>179</v>
      </c>
      <c r="Q114" s="10" t="s">
        <v>178</v>
      </c>
      <c r="R114" t="s">
        <v>179</v>
      </c>
      <c r="S114" s="10" t="s">
        <v>178</v>
      </c>
      <c r="T114" t="s">
        <v>179</v>
      </c>
      <c r="U114" s="10" t="s">
        <v>178</v>
      </c>
      <c r="V114" t="s">
        <v>179</v>
      </c>
      <c r="W114" s="10" t="s">
        <v>178</v>
      </c>
      <c r="X114" t="s">
        <v>179</v>
      </c>
      <c r="Y114" s="10" t="s">
        <v>178</v>
      </c>
      <c r="Z114" t="s">
        <v>179</v>
      </c>
      <c r="AA114">
        <f>+F80+H80+J80+L99+N99+P99+R99+T99+V99+X99+Z99</f>
        <v>2099.8968328447245</v>
      </c>
    </row>
    <row r="115" spans="1:27" ht="12.75">
      <c r="A115" t="s">
        <v>143</v>
      </c>
      <c r="E115" s="16">
        <f>+E16+E22+E28+E34+E40+E55+E61+E67+E73+E79+E85+E100+E106</f>
        <v>1</v>
      </c>
      <c r="F115" s="4">
        <f>F10/E10</f>
        <v>12</v>
      </c>
      <c r="G115" s="10">
        <v>436</v>
      </c>
      <c r="H115" s="4">
        <f>H10/G10</f>
        <v>3.0547752808988764</v>
      </c>
      <c r="I115" s="10">
        <v>388</v>
      </c>
      <c r="J115" s="4">
        <f>J10/I10</f>
        <v>1.728</v>
      </c>
      <c r="K115" s="10">
        <v>1163</v>
      </c>
      <c r="L115" s="4">
        <f>L10/K10</f>
        <v>1.9755434782608696</v>
      </c>
      <c r="M115" s="10">
        <v>167</v>
      </c>
      <c r="N115" s="4">
        <f>N10/M10</f>
        <v>2.8181818181818183</v>
      </c>
      <c r="O115" s="10">
        <v>620</v>
      </c>
      <c r="P115" s="4">
        <f>P10/O10</f>
        <v>2.5361344537815125</v>
      </c>
      <c r="Q115" s="10">
        <v>885</v>
      </c>
      <c r="R115" s="4">
        <f>R10/Q10</f>
        <v>3.0013037809647978</v>
      </c>
      <c r="S115" s="10">
        <v>613</v>
      </c>
      <c r="T115" s="4">
        <f>T10/S10</f>
        <v>2.1933701657458564</v>
      </c>
      <c r="U115" s="10">
        <v>423</v>
      </c>
      <c r="V115" s="4">
        <f>V10/U10</f>
        <v>1.889763779527559</v>
      </c>
      <c r="W115" s="10">
        <v>384</v>
      </c>
      <c r="X115" s="4">
        <f>X10/W10</f>
        <v>2.018808777429467</v>
      </c>
      <c r="Y115" s="10">
        <v>325</v>
      </c>
      <c r="Z115" s="4">
        <f>Z10/Y10</f>
        <v>1.2650602409638554</v>
      </c>
      <c r="AA115">
        <v>9079</v>
      </c>
    </row>
    <row r="116" spans="5:27" ht="12.75">
      <c r="E116" s="16">
        <f>+E17+E23+E29+E35+E41+E56+E62+E68+E74+E80+E86+E101+E107</f>
        <v>7</v>
      </c>
      <c r="F116" s="4">
        <f>F11/E11</f>
        <v>6.857142857142857</v>
      </c>
      <c r="G116" s="10">
        <v>3336</v>
      </c>
      <c r="H116" s="4">
        <f>H11/G11</f>
        <v>2.187896741430385</v>
      </c>
      <c r="I116" s="10">
        <v>14035</v>
      </c>
      <c r="J116" s="4">
        <f>J11/I11</f>
        <v>1.0246727089627392</v>
      </c>
      <c r="K116" s="10">
        <v>21157</v>
      </c>
      <c r="L116" s="4">
        <f>L11/K11</f>
        <v>1.2750265768958187</v>
      </c>
      <c r="M116" s="10">
        <v>6111</v>
      </c>
      <c r="N116" s="4">
        <f>N11/M11</f>
        <v>1.4794445459528596</v>
      </c>
      <c r="O116" s="10">
        <v>4206</v>
      </c>
      <c r="P116" s="4">
        <f>P11/O11</f>
        <v>1.6146765533111735</v>
      </c>
      <c r="Q116" s="10">
        <v>14121</v>
      </c>
      <c r="R116" s="4">
        <f>R11/Q11</f>
        <v>1.5404453213077791</v>
      </c>
      <c r="S116" s="10">
        <v>12373</v>
      </c>
      <c r="T116" s="4">
        <f>T11/S11</f>
        <v>2.712952677182848</v>
      </c>
      <c r="U116" s="10">
        <v>9436</v>
      </c>
      <c r="V116" s="4">
        <f>V11/U11</f>
        <v>1.4629773967264224</v>
      </c>
      <c r="W116" s="10">
        <v>2747</v>
      </c>
      <c r="X116" s="4">
        <f>X11/W11</f>
        <v>1.9060185185185186</v>
      </c>
      <c r="Y116" s="10">
        <v>20067</v>
      </c>
      <c r="Z116" s="4">
        <f>Z11/Y11</f>
        <v>1.239672843979708</v>
      </c>
      <c r="AA116">
        <v>154056</v>
      </c>
    </row>
    <row r="117" spans="5:27" ht="12.75">
      <c r="E117" s="16">
        <f>+E18+E24+E30+E36+E42+E57+E63+E69+E75+E81+E87+E102+E108</f>
        <v>234818</v>
      </c>
      <c r="F117" s="4">
        <f>F12/E12</f>
        <v>6.85941878390924</v>
      </c>
      <c r="G117" s="10">
        <v>97882862</v>
      </c>
      <c r="H117" s="4">
        <f>H12/G12</f>
        <v>2.1417872389246426</v>
      </c>
      <c r="I117" s="10">
        <v>441215114</v>
      </c>
      <c r="J117" s="4">
        <f>J12/I12</f>
        <v>1.0812386077884248</v>
      </c>
      <c r="K117" s="10">
        <v>474329421</v>
      </c>
      <c r="L117" s="4">
        <f>L12/K12</f>
        <v>1.246832319214024</v>
      </c>
      <c r="M117" s="10">
        <v>353936892</v>
      </c>
      <c r="N117" s="4">
        <f>N12/M12</f>
        <v>1.4019069378385387</v>
      </c>
      <c r="O117" s="10">
        <v>126437753</v>
      </c>
      <c r="P117" s="4">
        <f>P12/O12</f>
        <v>1.589631214803849</v>
      </c>
      <c r="Q117" s="10">
        <v>402670687</v>
      </c>
      <c r="R117" s="4">
        <f>R12/Q12</f>
        <v>1.6375805939615613</v>
      </c>
      <c r="S117" s="10">
        <v>348740924</v>
      </c>
      <c r="T117" s="4">
        <f>T12/S12</f>
        <v>2.1631081804526504</v>
      </c>
      <c r="U117" s="10">
        <v>93818266</v>
      </c>
      <c r="V117" s="4">
        <f>V12/U12</f>
        <v>1.4593820474778296</v>
      </c>
      <c r="W117" s="10">
        <v>52682755</v>
      </c>
      <c r="X117" s="4">
        <f>X12/W12</f>
        <v>1.8736999926560627</v>
      </c>
      <c r="Y117" s="10">
        <v>540625452</v>
      </c>
      <c r="Z117" s="4">
        <f>Z12/Y12</f>
        <v>1.2442918613636678</v>
      </c>
      <c r="AA117">
        <v>4147027135.999999</v>
      </c>
    </row>
    <row r="119" spans="5:27" ht="12.75">
      <c r="E119" s="16" t="s">
        <v>143</v>
      </c>
      <c r="G119" s="10" t="s">
        <v>143</v>
      </c>
      <c r="I119" s="10" t="s">
        <v>143</v>
      </c>
      <c r="K119" s="10" t="s">
        <v>143</v>
      </c>
      <c r="M119" s="10" t="s">
        <v>143</v>
      </c>
      <c r="O119" s="10" t="s">
        <v>143</v>
      </c>
      <c r="Q119" s="10" t="s">
        <v>143</v>
      </c>
      <c r="S119" s="10" t="s">
        <v>143</v>
      </c>
      <c r="U119" s="10" t="s">
        <v>143</v>
      </c>
      <c r="W119" s="10" t="s">
        <v>143</v>
      </c>
      <c r="Y119" s="10" t="s">
        <v>143</v>
      </c>
      <c r="AA119">
        <f>+F85+H85+J85+L117+N117+P117+R117+T117+V117+X117+Z117</f>
        <v>201.7982196646221</v>
      </c>
    </row>
    <row r="120" spans="5:27" ht="12.75">
      <c r="E120" s="16">
        <f>+F16+F22+F28+F34+F40+F55+F61+F67+F73+F79+F85+F100+F106</f>
        <v>12</v>
      </c>
      <c r="G120" s="10">
        <f>+H16+H22+H28+H34+H40+H55+H61+H67+H73+H79+H85+H100+H106</f>
        <v>2175</v>
      </c>
      <c r="I120" s="10">
        <f>+J16+J22+J28+J34+J40+J55+J61+J67+J73+J79+J85+J100+J106</f>
        <v>648</v>
      </c>
      <c r="K120" s="10">
        <f>+L16+L22+L28+L34+L40+L55+L61+L67+L73+L79+L85+L100+L106</f>
        <v>2181</v>
      </c>
      <c r="M120" s="10">
        <f>+N16+N22+N28+N34+N40+N55+N61+N67+N73+N79+N85+N100+N106</f>
        <v>403.00000000000006</v>
      </c>
      <c r="O120" s="10">
        <f>+P16+P22+P28+P34+P40+P55+P61+P67+P73+P79+P85+P100+P106</f>
        <v>1509.0000000000002</v>
      </c>
      <c r="Q120" s="10">
        <f>+R16+R22+R28+R34+R40+R55+R61+R67+R73+R79+R85+R100+R106</f>
        <v>2301.9999999999995</v>
      </c>
      <c r="S120" s="10">
        <f>+T16+T22+T28+T34+T40+T55+T61+T67+T73+T79+T85+T100+T106</f>
        <v>1191</v>
      </c>
      <c r="U120" s="10">
        <f>+V16+V22+V28+V34+V40+V55+V61+V67+V73+V79+V85+V100+V106</f>
        <v>719.9999999999999</v>
      </c>
      <c r="W120" s="10">
        <f>+X16+X22+X28+X34+X40+X55+X61+X67+X73+X79+X85+X100+X106</f>
        <v>644</v>
      </c>
      <c r="Y120" s="10">
        <f>+Z16+Z22+Z28+Z34+Z40+Z55+Z61+Z67+Z73+Z79+Z85+Z100+Z106</f>
        <v>420</v>
      </c>
      <c r="AA120">
        <f>+F86+H86+J86+L105+N105+P105+R105+T105+V105+X105+Z105</f>
        <v>2840.680387980357</v>
      </c>
    </row>
    <row r="121" spans="5:27" ht="12.75">
      <c r="E121" s="16">
        <f aca="true" t="shared" si="15" ref="E121:G122">+F17+F23+F29+F35+F41+F56+F62+F68+F74+F80+F86+F101+F107</f>
        <v>47.99999999999999</v>
      </c>
      <c r="G121" s="10">
        <f t="shared" si="15"/>
        <v>15510</v>
      </c>
      <c r="I121" s="10">
        <f>+J17+J23+J29+J35+J41+J56+J62+J68+J74+J80+J86+J101+J107</f>
        <v>18315</v>
      </c>
      <c r="K121" s="10">
        <f>+L17+L23+L29+L35+L41+L56+L62+L68+L74+L80+L86+L101+L107</f>
        <v>28785</v>
      </c>
      <c r="M121" s="10">
        <f>+N17+N23+N29+N35+N41+N56+N62+N68+N74+N80+N86+N101+N107</f>
        <v>8097</v>
      </c>
      <c r="O121" s="10">
        <f>+P17+P23+P29+P35+P41+P56+P62+P68+P74+P80+P86+P101+P107</f>
        <v>6315</v>
      </c>
      <c r="Q121" s="10">
        <f>+R17+R23+R29+R35+R41+R56+R62+R68+R74+R80+R86+R101+R107</f>
        <v>21862.000000000004</v>
      </c>
      <c r="S121" s="10">
        <f>+T17+T23+T29+T35+T41+T56+T62+T68+T74+T80+T86+T101+T107</f>
        <v>36633</v>
      </c>
      <c r="U121" s="10">
        <f>+V17+V23+V29+V35+V41+V56+V62+V68+V74+V80+V86+V101+V107</f>
        <v>13138.999999999998</v>
      </c>
      <c r="W121" s="10">
        <f>+X17+X23+X29+X35+X41+X56+X62+X68+X74+X80+X86+X101+X107</f>
        <v>4117</v>
      </c>
      <c r="Y121" s="10">
        <f>+Z17+Z23+Z29+Z35+Z41+Z56+Z62+Z68+Z74+Z80+Z86+Z101+Z107</f>
        <v>23948</v>
      </c>
      <c r="AA121">
        <f>+F87+H87+J87+L106+N106+P106+R106+T106+V106+X106+Z106</f>
        <v>89988388.64734979</v>
      </c>
    </row>
    <row r="122" spans="5:25" ht="12.75">
      <c r="E122" s="16">
        <f t="shared" si="15"/>
        <v>1610715</v>
      </c>
      <c r="G122" s="10">
        <f t="shared" si="15"/>
        <v>497619885.0000002</v>
      </c>
      <c r="I122" s="10">
        <f>+J18+J24+J30+J36+J42+J57+J63+J69+J75+J81+J87+J102+J108</f>
        <v>702029794.0000001</v>
      </c>
      <c r="K122" s="10">
        <f>+L18+L24+L30+L36+L42+L57+L63+L69+L75+L81+L87+L102+L108</f>
        <v>790318160</v>
      </c>
      <c r="M122" s="10">
        <f>+N18+N24+N30+N36+N42+N57+N63+N69+N75+N81+N87+N102+N108</f>
        <v>444998734</v>
      </c>
      <c r="O122" s="10">
        <f>+P18+P24+P30+P36+P42+P57+P63+P69+P75+P81+P87+P102+P108</f>
        <v>234111214</v>
      </c>
      <c r="Q122" s="10">
        <f>+R18+R24+R30+R36+R42+R57+R63+R69+R75+R81+R87+R102+R108</f>
        <v>795188254</v>
      </c>
      <c r="S122" s="10">
        <f>+T18+T24+T30+T36+T42+T57+T63+T69+T75+T81+T87+T102+T108</f>
        <v>1042810015.0000002</v>
      </c>
      <c r="U122" s="11">
        <f>+V18+V24+V30+V36+V42+V57+V63+V69+V75+V81+V87+V102+V108</f>
        <v>153090642</v>
      </c>
      <c r="W122" s="10">
        <f>+X18+X24+X30+X36+X42+X57+X63+X69+X75+X81+X87+X102+X108</f>
        <v>90139414.00000001</v>
      </c>
      <c r="Y122" s="10">
        <f>+Z18+Z24+Z30+Z36+Z42+Z57+Z63+Z69+Z75+Z81+Z87+Z102+Z108</f>
        <v>706315867.0000001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2"/>
  <sheetViews>
    <sheetView zoomScale="75" zoomScaleNormal="75" workbookViewId="0" topLeftCell="A1">
      <selection activeCell="E11" sqref="E11"/>
    </sheetView>
  </sheetViews>
  <sheetFormatPr defaultColWidth="9.140625" defaultRowHeight="12.75"/>
  <cols>
    <col min="3" max="3" width="11.57421875" style="10" customWidth="1"/>
    <col min="4" max="4" width="11.57421875" style="0" customWidth="1"/>
    <col min="5" max="5" width="9.140625" style="10" customWidth="1"/>
    <col min="7" max="7" width="11.00390625" style="10" customWidth="1"/>
    <col min="8" max="8" width="10.421875" style="0" customWidth="1"/>
    <col min="9" max="9" width="11.140625" style="10" customWidth="1"/>
    <col min="10" max="10" width="10.57421875" style="0" bestFit="1" customWidth="1"/>
    <col min="11" max="11" width="11.00390625" style="10" customWidth="1"/>
    <col min="12" max="12" width="10.57421875" style="0" bestFit="1" customWidth="1"/>
    <col min="13" max="13" width="11.421875" style="10" customWidth="1"/>
    <col min="14" max="14" width="9.7109375" style="0" bestFit="1" customWidth="1"/>
    <col min="15" max="15" width="10.8515625" style="10" customWidth="1"/>
    <col min="16" max="16" width="10.57421875" style="0" bestFit="1" customWidth="1"/>
    <col min="17" max="17" width="11.00390625" style="10" customWidth="1"/>
    <col min="18" max="18" width="10.57421875" style="0" bestFit="1" customWidth="1"/>
    <col min="19" max="19" width="10.8515625" style="10" customWidth="1"/>
    <col min="20" max="20" width="10.57421875" style="0" bestFit="1" customWidth="1"/>
    <col min="21" max="21" width="10.28125" style="10" customWidth="1"/>
    <col min="22" max="22" width="9.7109375" style="0" bestFit="1" customWidth="1"/>
    <col min="23" max="23" width="9.8515625" style="10" customWidth="1"/>
    <col min="24" max="24" width="9.7109375" style="0" bestFit="1" customWidth="1"/>
    <col min="25" max="25" width="11.00390625" style="10" customWidth="1"/>
    <col min="26" max="26" width="10.57421875" style="0" bestFit="1" customWidth="1"/>
    <col min="27" max="27" width="11.7109375" style="0" customWidth="1"/>
  </cols>
  <sheetData>
    <row r="1" spans="12:26" ht="12.75">
      <c r="L1" t="s">
        <v>188</v>
      </c>
      <c r="Z1" s="1"/>
    </row>
    <row r="2" spans="16:26" ht="12.75">
      <c r="P2" t="s">
        <v>199</v>
      </c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 t="s">
        <v>124</v>
      </c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 t="s">
        <v>187</v>
      </c>
      <c r="M6" s="11"/>
      <c r="N6" s="1"/>
      <c r="O6" s="11"/>
      <c r="P6" s="2" t="s">
        <v>128</v>
      </c>
      <c r="Q6" s="12"/>
      <c r="R6" s="1" t="s">
        <v>129</v>
      </c>
      <c r="S6" s="11"/>
      <c r="T6" s="2" t="s">
        <v>131</v>
      </c>
      <c r="U6" s="12"/>
      <c r="V6" s="2" t="s">
        <v>133</v>
      </c>
      <c r="W6" s="12"/>
      <c r="X6" s="2" t="s">
        <v>140</v>
      </c>
      <c r="Y6" s="12"/>
      <c r="Z6" s="1"/>
    </row>
    <row r="7" spans="1:26" ht="12.75">
      <c r="A7" s="1" t="s">
        <v>185</v>
      </c>
      <c r="B7" s="1"/>
      <c r="C7" s="11"/>
      <c r="D7" s="2" t="s">
        <v>184</v>
      </c>
      <c r="E7" s="12" t="s">
        <v>144</v>
      </c>
      <c r="F7" s="2" t="s">
        <v>7</v>
      </c>
      <c r="G7" s="11" t="s">
        <v>145</v>
      </c>
      <c r="H7" s="1" t="s">
        <v>8</v>
      </c>
      <c r="I7" s="11" t="s">
        <v>146</v>
      </c>
      <c r="J7" s="2" t="s">
        <v>9</v>
      </c>
      <c r="K7" s="11" t="s">
        <v>147</v>
      </c>
      <c r="L7" s="1" t="s">
        <v>125</v>
      </c>
      <c r="M7" s="11" t="s">
        <v>148</v>
      </c>
      <c r="N7" s="2" t="s">
        <v>126</v>
      </c>
      <c r="O7" s="12" t="s">
        <v>149</v>
      </c>
      <c r="P7" s="2" t="s">
        <v>127</v>
      </c>
      <c r="Q7" s="12" t="s">
        <v>150</v>
      </c>
      <c r="R7" s="1" t="s">
        <v>130</v>
      </c>
      <c r="S7" s="11" t="s">
        <v>151</v>
      </c>
      <c r="T7" s="2" t="s">
        <v>132</v>
      </c>
      <c r="U7" s="12" t="s">
        <v>152</v>
      </c>
      <c r="V7" s="2" t="s">
        <v>134</v>
      </c>
      <c r="W7" s="12" t="s">
        <v>153</v>
      </c>
      <c r="X7" s="2" t="s">
        <v>141</v>
      </c>
      <c r="Y7" s="12" t="s">
        <v>154</v>
      </c>
      <c r="Z7" s="2" t="s">
        <v>94</v>
      </c>
    </row>
    <row r="8" spans="1:26" ht="12.75">
      <c r="A8" s="1"/>
      <c r="B8" s="1"/>
      <c r="C8" s="11"/>
      <c r="D8" s="2"/>
      <c r="E8" s="13"/>
      <c r="F8" s="2"/>
      <c r="G8" s="11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 t="s">
        <v>17</v>
      </c>
      <c r="B9" s="1"/>
      <c r="C9" s="11" t="s">
        <v>155</v>
      </c>
      <c r="D9" s="1">
        <f>+F9+H9+J9+L9+N9+P9+R9+T9+V9+X9+Z9</f>
        <v>0</v>
      </c>
      <c r="E9" s="11" t="s">
        <v>182</v>
      </c>
      <c r="F9" s="1"/>
      <c r="G9" s="11" t="s">
        <v>182</v>
      </c>
      <c r="H9" s="1"/>
      <c r="I9" s="11" t="s">
        <v>182</v>
      </c>
      <c r="J9" s="1"/>
      <c r="K9" s="11" t="s">
        <v>182</v>
      </c>
      <c r="L9" s="1"/>
      <c r="M9" s="11" t="s">
        <v>182</v>
      </c>
      <c r="N9" s="1"/>
      <c r="O9" s="11" t="s">
        <v>182</v>
      </c>
      <c r="P9" s="1"/>
      <c r="Q9" s="11" t="s">
        <v>182</v>
      </c>
      <c r="R9" s="1"/>
      <c r="S9" s="11" t="s">
        <v>182</v>
      </c>
      <c r="T9" s="1"/>
      <c r="U9" s="11" t="s">
        <v>182</v>
      </c>
      <c r="V9" s="1"/>
      <c r="W9" s="11" t="s">
        <v>182</v>
      </c>
      <c r="X9" s="1"/>
      <c r="Y9" s="11" t="s">
        <v>182</v>
      </c>
      <c r="Z9" s="1"/>
    </row>
    <row r="10" spans="1:27" ht="12.75">
      <c r="A10" s="1" t="s">
        <v>18</v>
      </c>
      <c r="B10" s="1"/>
      <c r="C10" s="11" t="e">
        <f>+D16+D22+D28+D34+D66+D78</f>
        <v>#DIV/0!</v>
      </c>
      <c r="D10" s="1">
        <f>+F10+H10+J10+L10+N10+P10+R10+T10+V10+X10+Z10</f>
        <v>0</v>
      </c>
      <c r="E10" s="1" t="e">
        <f>+G10+I10+K10+M10+O10+Q10+S10+U10+W10+Y10+AA10</f>
        <v>#DIV/0!</v>
      </c>
      <c r="F10" s="1"/>
      <c r="G10" s="1" t="e">
        <f>+I10+K10+M10+O10+Q10+S10+U10+W10+Y10+AA10+AC10</f>
        <v>#DIV/0!</v>
      </c>
      <c r="H10" s="1"/>
      <c r="I10" s="11"/>
      <c r="J10" s="1"/>
      <c r="K10" s="11"/>
      <c r="L10" s="1"/>
      <c r="M10" s="11"/>
      <c r="N10" s="1"/>
      <c r="O10" s="11"/>
      <c r="P10" s="1"/>
      <c r="Q10" s="11"/>
      <c r="R10" s="1"/>
      <c r="S10" s="11"/>
      <c r="T10" s="1"/>
      <c r="U10" s="11"/>
      <c r="V10" s="1"/>
      <c r="W10" s="11"/>
      <c r="X10" s="1"/>
      <c r="Y10" s="11"/>
      <c r="Z10" s="1"/>
      <c r="AA10" s="1" t="e">
        <f>+AA16+AA22+AA28+AA34+AA40+AA54+AA60+AA66+AA72+AA78+AA84</f>
        <v>#DIV/0!</v>
      </c>
    </row>
    <row r="11" spans="1:27" ht="12.75">
      <c r="A11" s="1" t="s">
        <v>20</v>
      </c>
      <c r="B11" s="1"/>
      <c r="C11" s="11" t="e">
        <f>+D17+D23+D29+D35+D67+D79</f>
        <v>#DIV/0!</v>
      </c>
      <c r="D11" s="1">
        <f>+F11+H11+J11+L11+N11+P11+R11+T11+V11+X11+Z11</f>
        <v>0</v>
      </c>
      <c r="E11" s="1" t="e">
        <f>+G11+I11+K11+M11+O11+Q11+S11+U11+W11+Y11+AA11</f>
        <v>#DIV/0!</v>
      </c>
      <c r="F11" s="1"/>
      <c r="G11" s="1" t="e">
        <f>+I11+K11+M11+O11+Q11+S11+U11+W11+Y11+AA11+AC11</f>
        <v>#DIV/0!</v>
      </c>
      <c r="H11" s="1"/>
      <c r="I11" s="11"/>
      <c r="J11" s="1"/>
      <c r="K11" s="11"/>
      <c r="L11" s="1"/>
      <c r="M11" s="11"/>
      <c r="N11" s="1"/>
      <c r="O11" s="11"/>
      <c r="P11" s="1"/>
      <c r="Q11" s="11"/>
      <c r="R11" s="1"/>
      <c r="S11" s="11"/>
      <c r="T11" s="1"/>
      <c r="U11" s="11"/>
      <c r="V11" s="1"/>
      <c r="W11" s="11"/>
      <c r="X11" s="1"/>
      <c r="Y11" s="11"/>
      <c r="Z11" s="1"/>
      <c r="AA11" s="1" t="e">
        <f>+AA17+AA23+AA29+AA35+AA41+AA55+AA61+AA67+AA73+AA79+AA85</f>
        <v>#DIV/0!</v>
      </c>
    </row>
    <row r="12" spans="1:27" ht="12.75">
      <c r="A12" s="1" t="s">
        <v>21</v>
      </c>
      <c r="B12" s="1"/>
      <c r="C12" s="11" t="e">
        <f>+D18+D24+D30+D36+D68+D80</f>
        <v>#DIV/0!</v>
      </c>
      <c r="D12" s="1">
        <f>+F12+H12+J12+L12+N12+P12+R12+T12+V12+X12+Z12</f>
        <v>0</v>
      </c>
      <c r="E12" s="1" t="e">
        <f>+G12+I12+K12+M12+O12+Q12+S12+U12+W12+Y12+AA12</f>
        <v>#DIV/0!</v>
      </c>
      <c r="F12" s="1"/>
      <c r="G12" s="1" t="e">
        <f>+I12+K12+M12+O12+Q12+S12+U12+W12+Y12+AA12+AC12</f>
        <v>#DIV/0!</v>
      </c>
      <c r="H12" s="1"/>
      <c r="I12" s="11"/>
      <c r="J12" s="1"/>
      <c r="K12" s="11"/>
      <c r="L12" s="1"/>
      <c r="M12" s="11"/>
      <c r="N12" s="1"/>
      <c r="O12" s="11"/>
      <c r="P12" s="1"/>
      <c r="Q12" s="11"/>
      <c r="R12" s="1"/>
      <c r="S12" s="11"/>
      <c r="T12" s="1"/>
      <c r="U12" s="11"/>
      <c r="V12" s="1"/>
      <c r="W12" s="11"/>
      <c r="X12" s="1"/>
      <c r="Y12" s="11"/>
      <c r="Z12" s="1"/>
      <c r="AA12" s="1" t="e">
        <f>+AA18+AA24+AA30+AA36+AA42+AA56+AA62+AA68+AA74+AA80+AA86</f>
        <v>#DIV/0!</v>
      </c>
    </row>
    <row r="13" spans="1:27" ht="12.75">
      <c r="A13" s="1" t="s">
        <v>23</v>
      </c>
      <c r="B13" s="1"/>
      <c r="C13" s="11" t="e">
        <f aca="true" t="shared" si="0" ref="C13:AA13">C12/(C11*12)</f>
        <v>#DIV/0!</v>
      </c>
      <c r="D13" s="1" t="e">
        <f>D12/(D11*12)</f>
        <v>#DIV/0!</v>
      </c>
      <c r="E13" s="11"/>
      <c r="F13" s="1">
        <v>0</v>
      </c>
      <c r="G13" s="11"/>
      <c r="H13" s="1" t="e">
        <f t="shared" si="0"/>
        <v>#DIV/0!</v>
      </c>
      <c r="I13" s="11"/>
      <c r="J13" s="1" t="e">
        <f t="shared" si="0"/>
        <v>#DIV/0!</v>
      </c>
      <c r="K13" s="11"/>
      <c r="L13" s="1" t="e">
        <f t="shared" si="0"/>
        <v>#DIV/0!</v>
      </c>
      <c r="M13" s="11"/>
      <c r="N13" s="1" t="e">
        <f t="shared" si="0"/>
        <v>#DIV/0!</v>
      </c>
      <c r="O13" s="11"/>
      <c r="P13" s="1" t="e">
        <f t="shared" si="0"/>
        <v>#DIV/0!</v>
      </c>
      <c r="Q13" s="11"/>
      <c r="R13" s="1" t="e">
        <f t="shared" si="0"/>
        <v>#DIV/0!</v>
      </c>
      <c r="S13" s="11"/>
      <c r="T13" s="1" t="e">
        <f t="shared" si="0"/>
        <v>#DIV/0!</v>
      </c>
      <c r="U13" s="11"/>
      <c r="V13" s="1" t="e">
        <f t="shared" si="0"/>
        <v>#DIV/0!</v>
      </c>
      <c r="W13" s="11"/>
      <c r="X13" s="1" t="e">
        <f t="shared" si="0"/>
        <v>#DIV/0!</v>
      </c>
      <c r="Y13" s="11"/>
      <c r="Z13" s="1" t="e">
        <f t="shared" si="0"/>
        <v>#DIV/0!</v>
      </c>
      <c r="AA13" s="1" t="e">
        <f t="shared" si="0"/>
        <v>#DIV/0!</v>
      </c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 t="s">
        <v>30</v>
      </c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7" ht="12.75">
      <c r="A16" s="1" t="s">
        <v>18</v>
      </c>
      <c r="B16" s="1"/>
      <c r="C16" s="11">
        <f aca="true" t="shared" si="1" ref="C16:D18">+E16+G16+I16+K16+M16+O16+Q16+S16+U16+W16+Y16</f>
        <v>392</v>
      </c>
      <c r="D16" s="1" t="e">
        <f t="shared" si="1"/>
        <v>#DIV/0!</v>
      </c>
      <c r="E16" s="11">
        <v>0</v>
      </c>
      <c r="F16" s="1">
        <f>+F$92*E16</f>
        <v>0</v>
      </c>
      <c r="G16" s="11">
        <v>63</v>
      </c>
      <c r="H16" s="1" t="e">
        <f>+H$92*G16</f>
        <v>#DIV/0!</v>
      </c>
      <c r="I16" s="11">
        <v>12</v>
      </c>
      <c r="J16" s="1" t="e">
        <f>+J$92*I16</f>
        <v>#DIV/0!</v>
      </c>
      <c r="K16" s="11">
        <v>75</v>
      </c>
      <c r="L16" s="1" t="e">
        <f>+L$92*K16</f>
        <v>#DIV/0!</v>
      </c>
      <c r="M16" s="11">
        <v>5</v>
      </c>
      <c r="N16" s="1" t="e">
        <f>+N$92*M16</f>
        <v>#DIV/0!</v>
      </c>
      <c r="O16" s="11">
        <v>48</v>
      </c>
      <c r="P16" s="1" t="e">
        <f>+P$92*O16</f>
        <v>#DIV/0!</v>
      </c>
      <c r="Q16" s="11">
        <v>44</v>
      </c>
      <c r="R16" s="1" t="e">
        <f>+R$92*Q16</f>
        <v>#DIV/0!</v>
      </c>
      <c r="S16" s="11">
        <v>45</v>
      </c>
      <c r="T16" s="1" t="e">
        <f>+T$92*S16</f>
        <v>#DIV/0!</v>
      </c>
      <c r="U16" s="11">
        <v>42</v>
      </c>
      <c r="V16" s="1" t="e">
        <f>+V$92*U16</f>
        <v>#DIV/0!</v>
      </c>
      <c r="W16" s="11">
        <v>34</v>
      </c>
      <c r="X16" s="1" t="e">
        <f>+X$92*W16</f>
        <v>#DIV/0!</v>
      </c>
      <c r="Y16" s="11">
        <v>24</v>
      </c>
      <c r="Z16" s="1" t="e">
        <f>+Z$92*Y16</f>
        <v>#DIV/0!</v>
      </c>
      <c r="AA16" t="e">
        <f>+F16+H16+J16+L16+N16+P16+R16+T16+V16+X16+Z16</f>
        <v>#DIV/0!</v>
      </c>
    </row>
    <row r="17" spans="1:27" ht="12.75">
      <c r="A17" s="1" t="s">
        <v>20</v>
      </c>
      <c r="B17" s="1"/>
      <c r="C17" s="11">
        <f t="shared" si="1"/>
        <v>5241</v>
      </c>
      <c r="D17" s="1" t="e">
        <f t="shared" si="1"/>
        <v>#DIV/0!</v>
      </c>
      <c r="E17" s="11">
        <v>0</v>
      </c>
      <c r="F17" s="1">
        <f>+F$93*E17</f>
        <v>0</v>
      </c>
      <c r="G17" s="11">
        <v>306</v>
      </c>
      <c r="H17" s="1" t="e">
        <f>+H$93*G17</f>
        <v>#DIV/0!</v>
      </c>
      <c r="I17" s="11">
        <v>625</v>
      </c>
      <c r="J17" s="1" t="e">
        <f>+J$93*I17</f>
        <v>#DIV/0!</v>
      </c>
      <c r="K17" s="11">
        <v>1069</v>
      </c>
      <c r="L17" s="1" t="e">
        <f>+L$93*K17</f>
        <v>#DIV/0!</v>
      </c>
      <c r="M17" s="11">
        <v>14</v>
      </c>
      <c r="N17" s="1" t="e">
        <f>+N$93*M17</f>
        <v>#DIV/0!</v>
      </c>
      <c r="O17" s="11">
        <v>284</v>
      </c>
      <c r="P17" s="1" t="e">
        <f>+P$93*O17</f>
        <v>#DIV/0!</v>
      </c>
      <c r="Q17" s="11">
        <v>292</v>
      </c>
      <c r="R17" s="1" t="e">
        <f>+R$93*Q17</f>
        <v>#DIV/0!</v>
      </c>
      <c r="S17" s="11">
        <v>560</v>
      </c>
      <c r="T17" s="1" t="e">
        <f>+T$93*S17</f>
        <v>#DIV/0!</v>
      </c>
      <c r="U17" s="11">
        <v>740</v>
      </c>
      <c r="V17" s="1" t="e">
        <f>+V$93*U17</f>
        <v>#DIV/0!</v>
      </c>
      <c r="W17" s="11">
        <v>200</v>
      </c>
      <c r="X17" s="1" t="e">
        <f>+X$93*W17</f>
        <v>#DIV/0!</v>
      </c>
      <c r="Y17" s="11">
        <v>1151</v>
      </c>
      <c r="Z17" s="1" t="e">
        <f>+Z$93*Y17</f>
        <v>#DIV/0!</v>
      </c>
      <c r="AA17" t="e">
        <f>+F17+H17+J17+L17+N17+P17+R17+T17+V17+X17+Z17</f>
        <v>#DIV/0!</v>
      </c>
    </row>
    <row r="18" spans="1:27" ht="12.75">
      <c r="A18" s="1" t="s">
        <v>21</v>
      </c>
      <c r="B18" s="1"/>
      <c r="C18" s="11">
        <f t="shared" si="1"/>
        <v>134331145</v>
      </c>
      <c r="D18" s="1" t="e">
        <f t="shared" si="1"/>
        <v>#DIV/0!</v>
      </c>
      <c r="E18" s="11">
        <v>0</v>
      </c>
      <c r="F18" s="1">
        <f>+F$94*E18</f>
        <v>0</v>
      </c>
      <c r="G18" s="11">
        <v>7166622</v>
      </c>
      <c r="H18" s="1" t="e">
        <f>+H$94*G18</f>
        <v>#DIV/0!</v>
      </c>
      <c r="I18" s="11">
        <v>48092255</v>
      </c>
      <c r="J18" s="1" t="e">
        <f>+J$94*I18</f>
        <v>#DIV/0!</v>
      </c>
      <c r="K18" s="11">
        <v>17851285</v>
      </c>
      <c r="L18" s="1" t="e">
        <f>+L$94*K18</f>
        <v>#DIV/0!</v>
      </c>
      <c r="M18" s="11">
        <v>319481</v>
      </c>
      <c r="N18" s="1" t="e">
        <f>+N$94*M18</f>
        <v>#DIV/0!</v>
      </c>
      <c r="O18" s="11">
        <v>5722079</v>
      </c>
      <c r="P18" s="1" t="e">
        <f>+P$94*O18</f>
        <v>#DIV/0!</v>
      </c>
      <c r="Q18" s="11">
        <v>5947348</v>
      </c>
      <c r="R18" s="1" t="e">
        <f>+R$94*Q18</f>
        <v>#DIV/0!</v>
      </c>
      <c r="S18" s="11">
        <v>10731220</v>
      </c>
      <c r="T18" s="1" t="e">
        <f>+T$94*S18</f>
        <v>#DIV/0!</v>
      </c>
      <c r="U18" s="11">
        <v>6421061</v>
      </c>
      <c r="V18" s="1" t="e">
        <f>+V$94*U18</f>
        <v>#DIV/0!</v>
      </c>
      <c r="W18" s="11">
        <v>3020895</v>
      </c>
      <c r="X18" s="1" t="e">
        <f>+X$94*W18</f>
        <v>#DIV/0!</v>
      </c>
      <c r="Y18" s="11">
        <v>29058899</v>
      </c>
      <c r="Z18" s="1" t="e">
        <f>+Z$94*Y18</f>
        <v>#DIV/0!</v>
      </c>
      <c r="AA18" t="e">
        <f>+F18+H18+J18+L18+N18+P18+R18+T18+V18+X18+Z18</f>
        <v>#DIV/0!</v>
      </c>
    </row>
    <row r="19" spans="1:26" ht="12.75">
      <c r="A19" s="1" t="s">
        <v>23</v>
      </c>
      <c r="B19" s="1"/>
      <c r="C19" s="11">
        <f>C18/(C17*12)</f>
        <v>2135.90194301342</v>
      </c>
      <c r="D19" s="1" t="e">
        <f>D18/(D17*12)</f>
        <v>#DIV/0!</v>
      </c>
      <c r="E19" s="11">
        <v>0</v>
      </c>
      <c r="F19" s="1">
        <v>0</v>
      </c>
      <c r="G19" s="11"/>
      <c r="H19" s="1" t="e">
        <f aca="true" t="shared" si="2" ref="H19:Z19">H18/(H17*12)</f>
        <v>#DIV/0!</v>
      </c>
      <c r="I19" s="11"/>
      <c r="J19" s="1" t="e">
        <f t="shared" si="2"/>
        <v>#DIV/0!</v>
      </c>
      <c r="K19" s="11"/>
      <c r="L19" s="1" t="e">
        <f t="shared" si="2"/>
        <v>#DIV/0!</v>
      </c>
      <c r="M19" s="11"/>
      <c r="N19" s="1" t="e">
        <f t="shared" si="2"/>
        <v>#DIV/0!</v>
      </c>
      <c r="O19" s="11"/>
      <c r="P19" s="1" t="e">
        <f t="shared" si="2"/>
        <v>#DIV/0!</v>
      </c>
      <c r="Q19" s="11"/>
      <c r="R19" s="1" t="e">
        <f t="shared" si="2"/>
        <v>#DIV/0!</v>
      </c>
      <c r="S19" s="11"/>
      <c r="T19" s="1" t="e">
        <f t="shared" si="2"/>
        <v>#DIV/0!</v>
      </c>
      <c r="U19" s="11"/>
      <c r="V19" s="1" t="e">
        <f t="shared" si="2"/>
        <v>#DIV/0!</v>
      </c>
      <c r="W19" s="11"/>
      <c r="X19" s="1" t="e">
        <f t="shared" si="2"/>
        <v>#DIV/0!</v>
      </c>
      <c r="Y19" s="11"/>
      <c r="Z19" s="1" t="e">
        <f t="shared" si="2"/>
        <v>#DIV/0!</v>
      </c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 t="s">
        <v>41</v>
      </c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7" ht="12.75">
      <c r="A22" s="1" t="s">
        <v>18</v>
      </c>
      <c r="B22" s="1"/>
      <c r="C22" s="11">
        <f>+E22+G22+I22+K22+M22+O22+Q22+S22+U22+W22+Y22</f>
        <v>14</v>
      </c>
      <c r="D22" s="1" t="e">
        <f>+F22+H22+J22+L22+N22+P22+T22+V22+X22+Z22</f>
        <v>#DIV/0!</v>
      </c>
      <c r="E22" s="11">
        <v>0</v>
      </c>
      <c r="F22" s="1">
        <f>+F$92*E22</f>
        <v>0</v>
      </c>
      <c r="G22" s="11">
        <v>6</v>
      </c>
      <c r="H22" s="1" t="e">
        <f>+H$92*G22</f>
        <v>#DIV/0!</v>
      </c>
      <c r="I22" s="11">
        <v>0</v>
      </c>
      <c r="J22" s="1" t="e">
        <f>+J$92*I22</f>
        <v>#DIV/0!</v>
      </c>
      <c r="K22" s="11">
        <v>2</v>
      </c>
      <c r="L22" s="1" t="e">
        <f>+L$92*K22</f>
        <v>#DIV/0!</v>
      </c>
      <c r="M22" s="11">
        <v>0</v>
      </c>
      <c r="N22" s="1" t="e">
        <f>+N$92*M22</f>
        <v>#DIV/0!</v>
      </c>
      <c r="O22" s="11">
        <v>0</v>
      </c>
      <c r="P22" s="1" t="e">
        <f>+P$92*O22</f>
        <v>#DIV/0!</v>
      </c>
      <c r="Q22" s="11">
        <v>1</v>
      </c>
      <c r="R22" s="1" t="e">
        <f>+R$92*Q22</f>
        <v>#DIV/0!</v>
      </c>
      <c r="S22" s="11">
        <v>2</v>
      </c>
      <c r="T22" s="1" t="e">
        <f>+T$92*S22</f>
        <v>#DIV/0!</v>
      </c>
      <c r="U22" s="11">
        <v>2</v>
      </c>
      <c r="V22" s="1" t="e">
        <f>+V$92*U22</f>
        <v>#DIV/0!</v>
      </c>
      <c r="W22" s="11">
        <v>0</v>
      </c>
      <c r="X22" s="1" t="e">
        <f>+X$92*W22</f>
        <v>#DIV/0!</v>
      </c>
      <c r="Y22" s="11">
        <v>1</v>
      </c>
      <c r="Z22" s="1" t="e">
        <f>+Z$92*Y22</f>
        <v>#DIV/0!</v>
      </c>
      <c r="AA22" t="e">
        <f>+F22+H22+J22+L22+N22+P22+R22+T22+V22+X22+Z22</f>
        <v>#DIV/0!</v>
      </c>
    </row>
    <row r="23" spans="1:27" ht="12.75">
      <c r="A23" s="1" t="s">
        <v>20</v>
      </c>
      <c r="B23" s="1"/>
      <c r="C23" s="11">
        <f>+E23+G23+I23+K23+M23+O23+Q23+S23+U23+W23+Y23</f>
        <v>79</v>
      </c>
      <c r="D23" s="1" t="e">
        <f>+F23+H23+J23+L23+N23+P23+T23+V23+X23+Z23</f>
        <v>#DIV/0!</v>
      </c>
      <c r="E23" s="11">
        <v>0</v>
      </c>
      <c r="F23" s="1">
        <f>+F$93*E23</f>
        <v>0</v>
      </c>
      <c r="G23" s="11">
        <v>21</v>
      </c>
      <c r="H23" s="1" t="e">
        <f>+H$93*G23</f>
        <v>#DIV/0!</v>
      </c>
      <c r="I23" s="11">
        <v>0</v>
      </c>
      <c r="J23" s="1" t="e">
        <f>+J$93*I23</f>
        <v>#DIV/0!</v>
      </c>
      <c r="K23" s="11">
        <v>10</v>
      </c>
      <c r="L23" s="1" t="e">
        <f>+L$93*K23</f>
        <v>#DIV/0!</v>
      </c>
      <c r="M23" s="11">
        <v>0</v>
      </c>
      <c r="N23" s="1" t="e">
        <f>+N$93*M23</f>
        <v>#DIV/0!</v>
      </c>
      <c r="O23" s="11">
        <v>0</v>
      </c>
      <c r="P23" s="1" t="e">
        <f>+P$93*O23</f>
        <v>#DIV/0!</v>
      </c>
      <c r="Q23" s="11">
        <v>0</v>
      </c>
      <c r="R23" s="1" t="e">
        <f>+R$93*Q23</f>
        <v>#DIV/0!</v>
      </c>
      <c r="S23" s="11">
        <v>18</v>
      </c>
      <c r="T23" s="1" t="e">
        <f>+T$93*S23</f>
        <v>#DIV/0!</v>
      </c>
      <c r="U23" s="11">
        <v>26</v>
      </c>
      <c r="V23" s="1" t="e">
        <f>+V$93*U23</f>
        <v>#DIV/0!</v>
      </c>
      <c r="W23" s="11">
        <v>0</v>
      </c>
      <c r="X23" s="1" t="e">
        <f>+X$93*W23</f>
        <v>#DIV/0!</v>
      </c>
      <c r="Y23" s="11">
        <v>4</v>
      </c>
      <c r="Z23" s="1" t="e">
        <f>+Z$93*Y23</f>
        <v>#DIV/0!</v>
      </c>
      <c r="AA23" t="e">
        <f>+F23+H23+J23+L23+N23+P23+R23+T23+V23+X23+Z23</f>
        <v>#DIV/0!</v>
      </c>
    </row>
    <row r="24" spans="1:27" ht="12.75">
      <c r="A24" s="1" t="s">
        <v>21</v>
      </c>
      <c r="B24" s="1"/>
      <c r="C24" s="11">
        <f>+E24+G24+I24+K24+M24+O24+Q24+S24+U24+W24+Y24</f>
        <v>1887564</v>
      </c>
      <c r="D24" s="1" t="e">
        <f>+F24+H24+J24+L24+N24+P24+T24+V24+X24+Z24</f>
        <v>#DIV/0!</v>
      </c>
      <c r="E24" s="11">
        <v>0</v>
      </c>
      <c r="F24" s="1">
        <f>+F$94*E24</f>
        <v>0</v>
      </c>
      <c r="G24" s="11">
        <v>693267</v>
      </c>
      <c r="H24" s="1" t="e">
        <f>+H$94*G24</f>
        <v>#DIV/0!</v>
      </c>
      <c r="I24" s="11">
        <v>0</v>
      </c>
      <c r="J24" s="1" t="e">
        <f>+J$94*I24</f>
        <v>#DIV/0!</v>
      </c>
      <c r="K24" s="11">
        <v>106693</v>
      </c>
      <c r="L24" s="1" t="e">
        <f>+L$94*K24</f>
        <v>#DIV/0!</v>
      </c>
      <c r="M24" s="11">
        <v>0</v>
      </c>
      <c r="N24" s="1" t="e">
        <f>+N$94*M24</f>
        <v>#DIV/0!</v>
      </c>
      <c r="O24" s="11">
        <v>0</v>
      </c>
      <c r="P24" s="1" t="e">
        <f>+P$94*O24</f>
        <v>#DIV/0!</v>
      </c>
      <c r="Q24" s="11">
        <v>0</v>
      </c>
      <c r="R24" s="1" t="e">
        <f>+R$94*Q24</f>
        <v>#DIV/0!</v>
      </c>
      <c r="S24" s="11">
        <v>781036</v>
      </c>
      <c r="T24" s="1" t="e">
        <f>+T$94*S24</f>
        <v>#DIV/0!</v>
      </c>
      <c r="U24" s="11">
        <v>110518</v>
      </c>
      <c r="V24" s="1" t="e">
        <f>+V$94*U24</f>
        <v>#DIV/0!</v>
      </c>
      <c r="W24" s="11">
        <v>0</v>
      </c>
      <c r="X24" s="1" t="e">
        <f>+X$94*W24</f>
        <v>#DIV/0!</v>
      </c>
      <c r="Y24" s="11">
        <v>196050</v>
      </c>
      <c r="Z24" s="1" t="e">
        <f>+Z$94*Y24</f>
        <v>#DIV/0!</v>
      </c>
      <c r="AA24" t="e">
        <f>+F24+H24+J24+L24+N24+P24+R24+T24+V24+X24+Z24</f>
        <v>#DIV/0!</v>
      </c>
    </row>
    <row r="25" spans="1:26" ht="12.75">
      <c r="A25" s="1" t="s">
        <v>23</v>
      </c>
      <c r="B25" s="1"/>
      <c r="C25" s="11">
        <f>C24/(C23*12)</f>
        <v>1991.1012658227849</v>
      </c>
      <c r="D25" s="1" t="e">
        <f>D24/(D23*12)</f>
        <v>#DIV/0!</v>
      </c>
      <c r="E25" s="11"/>
      <c r="F25" s="1">
        <v>0</v>
      </c>
      <c r="G25" s="11"/>
      <c r="H25" s="1" t="e">
        <f>H24/(H23*12)</f>
        <v>#DIV/0!</v>
      </c>
      <c r="I25" s="11"/>
      <c r="J25" s="1">
        <v>0</v>
      </c>
      <c r="K25" s="11"/>
      <c r="L25" s="1" t="e">
        <f>L24/(L23*12)</f>
        <v>#DIV/0!</v>
      </c>
      <c r="M25" s="11"/>
      <c r="N25" s="1">
        <v>0</v>
      </c>
      <c r="O25" s="11"/>
      <c r="P25" s="1">
        <v>0</v>
      </c>
      <c r="Q25" s="11"/>
      <c r="R25" s="1">
        <v>0</v>
      </c>
      <c r="S25" s="11"/>
      <c r="T25" s="1" t="e">
        <f>T24/(T23*12)</f>
        <v>#DIV/0!</v>
      </c>
      <c r="U25" s="11"/>
      <c r="V25" s="1" t="e">
        <f>V24/(V23*12)</f>
        <v>#DIV/0!</v>
      </c>
      <c r="W25" s="11"/>
      <c r="X25" s="1">
        <v>0</v>
      </c>
      <c r="Y25" s="11"/>
      <c r="Z25" s="1" t="e">
        <f>Z24/(Z23*12)</f>
        <v>#DIV/0!</v>
      </c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 t="s">
        <v>50</v>
      </c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7" ht="12.75">
      <c r="A28" s="1" t="s">
        <v>18</v>
      </c>
      <c r="B28" s="1"/>
      <c r="C28" s="11">
        <f>+E28+G28+I28+K28+M28+O28+Q28+S28+U28+W28+Y28</f>
        <v>45</v>
      </c>
      <c r="D28" s="1" t="e">
        <f>+F28+H28+L28+N28+P28+T28+V28+Z28</f>
        <v>#DIV/0!</v>
      </c>
      <c r="E28" s="11">
        <v>0</v>
      </c>
      <c r="F28" s="1">
        <f>+F$92*E28</f>
        <v>0</v>
      </c>
      <c r="G28" s="11">
        <v>19</v>
      </c>
      <c r="H28" s="1" t="e">
        <f>+H$92*G28</f>
        <v>#DIV/0!</v>
      </c>
      <c r="I28" s="11">
        <v>1</v>
      </c>
      <c r="J28" s="1" t="e">
        <f>+J$92*I28</f>
        <v>#DIV/0!</v>
      </c>
      <c r="K28" s="11">
        <v>10</v>
      </c>
      <c r="L28" s="1" t="e">
        <f>+L$92*K28</f>
        <v>#DIV/0!</v>
      </c>
      <c r="M28" s="15">
        <v>0</v>
      </c>
      <c r="N28" s="1" t="e">
        <f>+N$92*M28</f>
        <v>#DIV/0!</v>
      </c>
      <c r="O28" s="11">
        <v>4</v>
      </c>
      <c r="P28" s="1" t="e">
        <f>+P$92*O28</f>
        <v>#DIV/0!</v>
      </c>
      <c r="Q28" s="11">
        <v>2</v>
      </c>
      <c r="R28" s="1" t="e">
        <f>+R$92*Q28</f>
        <v>#DIV/0!</v>
      </c>
      <c r="S28" s="11">
        <v>3</v>
      </c>
      <c r="T28" s="1" t="e">
        <f>+T$92*S28</f>
        <v>#DIV/0!</v>
      </c>
      <c r="U28" s="11">
        <v>0</v>
      </c>
      <c r="V28" s="1" t="e">
        <f>+V$92*U28</f>
        <v>#DIV/0!</v>
      </c>
      <c r="W28" s="11">
        <v>2</v>
      </c>
      <c r="X28" s="1" t="e">
        <f>+X$92*W28</f>
        <v>#DIV/0!</v>
      </c>
      <c r="Y28" s="11">
        <v>4</v>
      </c>
      <c r="Z28" s="1" t="e">
        <f>+Z$92*Y28</f>
        <v>#DIV/0!</v>
      </c>
      <c r="AA28" t="e">
        <f>+F28+H28+J28+L28+N28+P28+R28+T28+V28+X28+Z28</f>
        <v>#DIV/0!</v>
      </c>
    </row>
    <row r="29" spans="1:27" ht="12.75">
      <c r="A29" s="1" t="s">
        <v>20</v>
      </c>
      <c r="B29" s="1"/>
      <c r="C29" s="11">
        <f>+E29+G29+I29+K29+M29+O29+Q29+S29+U29+W29+Y29</f>
        <v>229</v>
      </c>
      <c r="D29" s="1" t="e">
        <f>+F29+H29+L29+N29+P29+T29+V29+Z29</f>
        <v>#DIV/0!</v>
      </c>
      <c r="E29" s="11">
        <v>0</v>
      </c>
      <c r="F29" s="1">
        <f>+F$93*E29</f>
        <v>0</v>
      </c>
      <c r="G29" s="11">
        <v>74</v>
      </c>
      <c r="H29" s="1" t="e">
        <f>+H$93*G29</f>
        <v>#DIV/0!</v>
      </c>
      <c r="I29" s="11">
        <v>19</v>
      </c>
      <c r="J29" s="1" t="e">
        <f>+J$93*I29</f>
        <v>#DIV/0!</v>
      </c>
      <c r="K29" s="11">
        <v>42</v>
      </c>
      <c r="L29" s="1" t="e">
        <f>+L$93*K29</f>
        <v>#DIV/0!</v>
      </c>
      <c r="M29" s="15">
        <v>0</v>
      </c>
      <c r="N29" s="1" t="e">
        <f>+N$93*M29</f>
        <v>#DIV/0!</v>
      </c>
      <c r="O29" s="11">
        <v>17</v>
      </c>
      <c r="P29" s="1" t="e">
        <f>+P$93*O29</f>
        <v>#DIV/0!</v>
      </c>
      <c r="Q29" s="11">
        <v>4</v>
      </c>
      <c r="R29" s="1" t="e">
        <f>+R$93*Q29</f>
        <v>#DIV/0!</v>
      </c>
      <c r="S29" s="11">
        <v>7</v>
      </c>
      <c r="T29" s="1" t="e">
        <f>+T$93*S29</f>
        <v>#DIV/0!</v>
      </c>
      <c r="U29" s="11">
        <v>0</v>
      </c>
      <c r="V29" s="1" t="e">
        <f>+V$93*U29</f>
        <v>#DIV/0!</v>
      </c>
      <c r="W29" s="11">
        <v>14</v>
      </c>
      <c r="X29" s="1" t="e">
        <f>+X$93*W29</f>
        <v>#DIV/0!</v>
      </c>
      <c r="Y29" s="11">
        <v>52</v>
      </c>
      <c r="Z29" s="1" t="e">
        <f>+Z$93*Y29</f>
        <v>#DIV/0!</v>
      </c>
      <c r="AA29" t="e">
        <f>+F29+H29+J29+L29+N29+P29+R29+T29+V29+X29+Z29</f>
        <v>#DIV/0!</v>
      </c>
    </row>
    <row r="30" spans="1:27" ht="12.75">
      <c r="A30" s="1" t="s">
        <v>21</v>
      </c>
      <c r="B30" s="1"/>
      <c r="C30" s="11">
        <f>+E30+G30+I30+K30+M30+O30+Q30+S30+U30+W30+Y30</f>
        <v>5364014</v>
      </c>
      <c r="D30" s="1" t="e">
        <f>+F30+H30+L30+N30+P30+T30+V30+Z30</f>
        <v>#DIV/0!</v>
      </c>
      <c r="E30" s="11">
        <v>0</v>
      </c>
      <c r="F30" s="1">
        <f>+F$94*E30</f>
        <v>0</v>
      </c>
      <c r="G30" s="11">
        <v>1869756</v>
      </c>
      <c r="H30" s="1" t="e">
        <f>+H$94*G30</f>
        <v>#DIV/0!</v>
      </c>
      <c r="I30" s="11">
        <v>329901</v>
      </c>
      <c r="J30" s="1" t="e">
        <f>+J$94*I30</f>
        <v>#DIV/0!</v>
      </c>
      <c r="K30" s="11">
        <v>977313</v>
      </c>
      <c r="L30" s="1" t="e">
        <f>+L$94*K30</f>
        <v>#DIV/0!</v>
      </c>
      <c r="M30" s="15">
        <v>0</v>
      </c>
      <c r="N30" s="1" t="e">
        <f>+N$94*M30</f>
        <v>#DIV/0!</v>
      </c>
      <c r="O30" s="11">
        <v>340626</v>
      </c>
      <c r="P30" s="1" t="e">
        <f>+P$94*O30</f>
        <v>#DIV/0!</v>
      </c>
      <c r="Q30" s="11">
        <v>147488</v>
      </c>
      <c r="R30" s="1" t="e">
        <f>+R$94*Q30</f>
        <v>#DIV/0!</v>
      </c>
      <c r="S30" s="11">
        <v>15058</v>
      </c>
      <c r="T30" s="1" t="e">
        <f>+T$94*S30</f>
        <v>#DIV/0!</v>
      </c>
      <c r="U30" s="11">
        <v>0</v>
      </c>
      <c r="V30" s="1" t="e">
        <f>+V$94*U30</f>
        <v>#DIV/0!</v>
      </c>
      <c r="W30" s="11">
        <v>341851</v>
      </c>
      <c r="X30" s="1" t="e">
        <f>+X$94*W30</f>
        <v>#DIV/0!</v>
      </c>
      <c r="Y30" s="11">
        <v>1342021</v>
      </c>
      <c r="Z30" s="1" t="e">
        <f>+Z$94*Y30</f>
        <v>#DIV/0!</v>
      </c>
      <c r="AA30" t="e">
        <f>+F30+H30+J30+L30+N30+P30+R30+T30+V30+X30+Z30</f>
        <v>#DIV/0!</v>
      </c>
    </row>
    <row r="31" spans="1:26" ht="12.75">
      <c r="A31" s="1" t="s">
        <v>23</v>
      </c>
      <c r="B31" s="1"/>
      <c r="C31" s="11">
        <f>C30/(C29*12)</f>
        <v>1951.9701601164484</v>
      </c>
      <c r="D31" s="1" t="e">
        <f>D30/(D29*12)</f>
        <v>#DIV/0!</v>
      </c>
      <c r="E31" s="11"/>
      <c r="F31" s="1">
        <v>0</v>
      </c>
      <c r="G31" s="11"/>
      <c r="H31" s="1" t="e">
        <f>H30/(H29*12)</f>
        <v>#DIV/0!</v>
      </c>
      <c r="I31" s="11"/>
      <c r="J31" s="1" t="e">
        <f>J30/(J29*12)</f>
        <v>#DIV/0!</v>
      </c>
      <c r="K31" s="11"/>
      <c r="L31" s="1" t="e">
        <f>L30/(L29*12)</f>
        <v>#DIV/0!</v>
      </c>
      <c r="M31" s="15"/>
      <c r="N31" s="1">
        <v>0</v>
      </c>
      <c r="O31" s="11"/>
      <c r="P31" s="1" t="e">
        <f>P30/(P29*12)</f>
        <v>#DIV/0!</v>
      </c>
      <c r="Q31" s="11"/>
      <c r="R31" s="1" t="e">
        <f>R30/(R29*12)</f>
        <v>#DIV/0!</v>
      </c>
      <c r="S31" s="11"/>
      <c r="T31" s="1" t="e">
        <f>T30/(T29*12)</f>
        <v>#DIV/0!</v>
      </c>
      <c r="U31" s="11"/>
      <c r="V31" s="1">
        <v>0</v>
      </c>
      <c r="W31" s="11"/>
      <c r="X31" s="1">
        <v>0</v>
      </c>
      <c r="Y31" s="11"/>
      <c r="Z31" s="1" t="e">
        <f>Z30/(Z29*12)</f>
        <v>#DIV/0!</v>
      </c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 t="s">
        <v>59</v>
      </c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7" ht="12.75">
      <c r="A34" s="1" t="s">
        <v>18</v>
      </c>
      <c r="B34" s="1"/>
      <c r="C34" s="11">
        <f aca="true" t="shared" si="3" ref="C34:D36">+E34+G34+I34+K34+M34+O34+Q34+S34+U34+W34+Y34</f>
        <v>1244</v>
      </c>
      <c r="D34" s="1" t="e">
        <f t="shared" si="3"/>
        <v>#DIV/0!</v>
      </c>
      <c r="E34" s="11">
        <v>0</v>
      </c>
      <c r="F34" s="1">
        <f>+F$92*E34</f>
        <v>0</v>
      </c>
      <c r="G34" s="11">
        <v>101</v>
      </c>
      <c r="H34" s="1" t="e">
        <f>+H$92*G34</f>
        <v>#DIV/0!</v>
      </c>
      <c r="I34" s="11">
        <v>112</v>
      </c>
      <c r="J34" s="1" t="e">
        <f>+J$92*I34</f>
        <v>#DIV/0!</v>
      </c>
      <c r="K34" s="11">
        <v>358</v>
      </c>
      <c r="L34" s="1" t="e">
        <f>+L$92*K34</f>
        <v>#DIV/0!</v>
      </c>
      <c r="M34" s="11">
        <v>15</v>
      </c>
      <c r="N34" s="1" t="e">
        <f>+N$92*M34</f>
        <v>#DIV/0!</v>
      </c>
      <c r="O34" s="11">
        <v>112</v>
      </c>
      <c r="P34" s="1" t="e">
        <f>+P$92*O34</f>
        <v>#DIV/0!</v>
      </c>
      <c r="Q34" s="11">
        <v>179</v>
      </c>
      <c r="R34" s="1" t="e">
        <f>+R$92*Q34</f>
        <v>#DIV/0!</v>
      </c>
      <c r="S34" s="11">
        <v>75</v>
      </c>
      <c r="T34" s="1" t="e">
        <f>+T$92*S34</f>
        <v>#DIV/0!</v>
      </c>
      <c r="U34" s="11">
        <v>92</v>
      </c>
      <c r="V34" s="1" t="e">
        <f>+V$92*U34</f>
        <v>#DIV/0!</v>
      </c>
      <c r="W34" s="11">
        <v>133</v>
      </c>
      <c r="X34" s="1" t="e">
        <f>+X$92*W34</f>
        <v>#DIV/0!</v>
      </c>
      <c r="Y34" s="11">
        <v>67</v>
      </c>
      <c r="Z34" s="1" t="e">
        <f>+Z$92*Y34</f>
        <v>#DIV/0!</v>
      </c>
      <c r="AA34" t="e">
        <f>+F34+H34+J34+L34+N34+P34+R34+T34+V34+X34+Z34</f>
        <v>#DIV/0!</v>
      </c>
    </row>
    <row r="35" spans="1:27" ht="12.75">
      <c r="A35" s="1" t="s">
        <v>20</v>
      </c>
      <c r="B35" s="1"/>
      <c r="C35" s="11">
        <f t="shared" si="3"/>
        <v>29090</v>
      </c>
      <c r="D35" s="1" t="e">
        <f t="shared" si="3"/>
        <v>#DIV/0!</v>
      </c>
      <c r="E35" s="11">
        <v>0</v>
      </c>
      <c r="F35" s="1">
        <f>+F$93*E35</f>
        <v>0</v>
      </c>
      <c r="G35" s="11">
        <v>1189</v>
      </c>
      <c r="H35" s="1" t="e">
        <f>+H$93*G35</f>
        <v>#DIV/0!</v>
      </c>
      <c r="I35" s="11">
        <v>7777</v>
      </c>
      <c r="J35" s="1" t="e">
        <f>+J$93*I35</f>
        <v>#DIV/0!</v>
      </c>
      <c r="K35" s="11">
        <v>5601</v>
      </c>
      <c r="L35" s="1" t="e">
        <f>+L$93*K35</f>
        <v>#DIV/0!</v>
      </c>
      <c r="M35" s="11">
        <v>1455</v>
      </c>
      <c r="N35" s="1" t="e">
        <f>+N$93*M35</f>
        <v>#DIV/0!</v>
      </c>
      <c r="O35" s="11">
        <v>876</v>
      </c>
      <c r="P35" s="1" t="e">
        <f>+P$93*O35</f>
        <v>#DIV/0!</v>
      </c>
      <c r="Q35" s="11">
        <v>3057</v>
      </c>
      <c r="R35" s="1" t="e">
        <f>+R$93*Q35</f>
        <v>#DIV/0!</v>
      </c>
      <c r="S35" s="11">
        <v>1467</v>
      </c>
      <c r="T35" s="1" t="e">
        <f>+T$93*S35</f>
        <v>#DIV/0!</v>
      </c>
      <c r="U35" s="11">
        <v>1756</v>
      </c>
      <c r="V35" s="1" t="e">
        <f>+V$93*U35</f>
        <v>#DIV/0!</v>
      </c>
      <c r="W35" s="11">
        <v>1033</v>
      </c>
      <c r="X35" s="1" t="e">
        <f>+X$93*W35</f>
        <v>#DIV/0!</v>
      </c>
      <c r="Y35" s="11">
        <v>4879</v>
      </c>
      <c r="Z35" s="1" t="e">
        <f>+Z$93*Y35</f>
        <v>#DIV/0!</v>
      </c>
      <c r="AA35" t="e">
        <f>+F35+H35+J35+L35+N35+P35+R35+T35+V35+X35+Z35</f>
        <v>#DIV/0!</v>
      </c>
    </row>
    <row r="36" spans="1:27" ht="12.75">
      <c r="A36" s="1" t="s">
        <v>21</v>
      </c>
      <c r="B36" s="1"/>
      <c r="C36" s="11">
        <f t="shared" si="3"/>
        <v>866319689</v>
      </c>
      <c r="D36" s="1" t="e">
        <f t="shared" si="3"/>
        <v>#DIV/0!</v>
      </c>
      <c r="E36" s="11">
        <v>0</v>
      </c>
      <c r="F36" s="1">
        <f>+F$94*E36</f>
        <v>0</v>
      </c>
      <c r="G36" s="11">
        <v>40077719</v>
      </c>
      <c r="H36" s="1" t="e">
        <f>+H$94*G36</f>
        <v>#DIV/0!</v>
      </c>
      <c r="I36" s="11">
        <v>282036281</v>
      </c>
      <c r="J36" s="1" t="e">
        <f>+J$94*I36</f>
        <v>#DIV/0!</v>
      </c>
      <c r="K36" s="11">
        <v>154024992</v>
      </c>
      <c r="L36" s="1" t="e">
        <f>+L$94*K36</f>
        <v>#DIV/0!</v>
      </c>
      <c r="M36" s="11">
        <v>40785907</v>
      </c>
      <c r="N36" s="1" t="e">
        <f>+N$94*M36</f>
        <v>#DIV/0!</v>
      </c>
      <c r="O36" s="11">
        <v>34619568</v>
      </c>
      <c r="P36" s="1" t="e">
        <f>+P$94*O36</f>
        <v>#DIV/0!</v>
      </c>
      <c r="Q36" s="11">
        <v>78565523</v>
      </c>
      <c r="R36" s="1" t="e">
        <f>+R$94*Q36</f>
        <v>#DIV/0!</v>
      </c>
      <c r="S36" s="11">
        <v>28322008</v>
      </c>
      <c r="T36" s="1" t="e">
        <f>+T$94*S36</f>
        <v>#DIV/0!</v>
      </c>
      <c r="U36" s="11">
        <v>21300877</v>
      </c>
      <c r="V36" s="1" t="e">
        <f>+V$94*U36</f>
        <v>#DIV/0!</v>
      </c>
      <c r="W36" s="11">
        <v>27067731</v>
      </c>
      <c r="X36" s="1" t="e">
        <f>+X$94*W36</f>
        <v>#DIV/0!</v>
      </c>
      <c r="Y36" s="11">
        <v>159519083</v>
      </c>
      <c r="Z36" s="1" t="e">
        <f>+Z$94*Y36</f>
        <v>#DIV/0!</v>
      </c>
      <c r="AA36" t="e">
        <f>+F36+H36+J36+L36+N36+P36+R36+T36+V36+X36+Z36</f>
        <v>#DIV/0!</v>
      </c>
    </row>
    <row r="37" spans="1:26" ht="12.75">
      <c r="A37" s="1" t="s">
        <v>23</v>
      </c>
      <c r="B37" s="1"/>
      <c r="C37" s="11">
        <f>C36/(C35*12)</f>
        <v>2481.722496275925</v>
      </c>
      <c r="D37" s="1" t="e">
        <f>D36/(D35*12)</f>
        <v>#DIV/0!</v>
      </c>
      <c r="E37" s="11"/>
      <c r="F37" s="1">
        <v>0</v>
      </c>
      <c r="G37" s="11"/>
      <c r="H37" s="1" t="e">
        <f>H36/(H35*12)</f>
        <v>#DIV/0!</v>
      </c>
      <c r="I37" s="11"/>
      <c r="J37" s="1" t="e">
        <f>J36/(J35*12)</f>
        <v>#DIV/0!</v>
      </c>
      <c r="K37" s="11"/>
      <c r="L37" s="1" t="e">
        <f>L36/(L35*12)</f>
        <v>#DIV/0!</v>
      </c>
      <c r="M37" s="11"/>
      <c r="N37" s="1" t="e">
        <f>N36/(N35*12)</f>
        <v>#DIV/0!</v>
      </c>
      <c r="O37" s="11"/>
      <c r="P37" s="1" t="e">
        <f>P36/(P35*12)</f>
        <v>#DIV/0!</v>
      </c>
      <c r="Q37" s="11"/>
      <c r="R37" s="1" t="e">
        <f>R36/(R35*12)</f>
        <v>#DIV/0!</v>
      </c>
      <c r="S37" s="11"/>
      <c r="T37" s="1" t="e">
        <f>T36/(T35*12)</f>
        <v>#DIV/0!</v>
      </c>
      <c r="U37" s="11"/>
      <c r="V37" s="1" t="e">
        <f>V36/(V35*12)</f>
        <v>#DIV/0!</v>
      </c>
      <c r="W37" s="11"/>
      <c r="X37" s="1" t="e">
        <f>X36/(X35*12)</f>
        <v>#DIV/0!</v>
      </c>
      <c r="Y37" s="11"/>
      <c r="Z37" s="1" t="e">
        <f>Z36/(Z35*12)</f>
        <v>#DIV/0!</v>
      </c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9" t="s">
        <v>72</v>
      </c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7" ht="12.75">
      <c r="A40" s="1" t="s">
        <v>18</v>
      </c>
      <c r="B40" s="1"/>
      <c r="C40" s="11">
        <f>+E40+G40+I40+K40+M40+O40+Q40+S40+U40+W40+Y40</f>
        <v>403</v>
      </c>
      <c r="D40" s="1" t="e">
        <f aca="true" t="shared" si="4" ref="C40:D42">+F40+H40+J40+L40+N40+P40+R40+T40+V40+X40+Z40</f>
        <v>#DIV/0!</v>
      </c>
      <c r="E40" s="11">
        <v>0</v>
      </c>
      <c r="F40" s="1">
        <f>+F$92*E40</f>
        <v>0</v>
      </c>
      <c r="G40" s="11">
        <v>13</v>
      </c>
      <c r="H40" s="1" t="e">
        <f>+H$92*G40</f>
        <v>#DIV/0!</v>
      </c>
      <c r="I40" s="11">
        <v>31</v>
      </c>
      <c r="J40" s="1" t="e">
        <f>+J$92*I40</f>
        <v>#DIV/0!</v>
      </c>
      <c r="K40" s="11">
        <v>103</v>
      </c>
      <c r="L40" s="1" t="e">
        <f>+L$92*K40</f>
        <v>#DIV/0!</v>
      </c>
      <c r="M40" s="11">
        <v>8</v>
      </c>
      <c r="N40" s="1" t="e">
        <f>+N$92*M40</f>
        <v>#DIV/0!</v>
      </c>
      <c r="O40" s="11">
        <v>37</v>
      </c>
      <c r="P40" s="1" t="e">
        <f>+P$92*O40</f>
        <v>#DIV/0!</v>
      </c>
      <c r="Q40" s="11">
        <v>67</v>
      </c>
      <c r="R40" s="1" t="e">
        <f>+R$92*Q40</f>
        <v>#DIV/0!</v>
      </c>
      <c r="S40" s="11">
        <v>15</v>
      </c>
      <c r="T40" s="1" t="e">
        <f>+T$92*S40</f>
        <v>#DIV/0!</v>
      </c>
      <c r="U40" s="11">
        <v>50</v>
      </c>
      <c r="V40" s="1" t="e">
        <f>+V$92*U40</f>
        <v>#DIV/0!</v>
      </c>
      <c r="W40" s="11">
        <v>46</v>
      </c>
      <c r="X40" s="1" t="e">
        <f>+X$92*W40</f>
        <v>#DIV/0!</v>
      </c>
      <c r="Y40" s="11">
        <v>33</v>
      </c>
      <c r="Z40" s="1" t="e">
        <f>+Z$92*Y40</f>
        <v>#DIV/0!</v>
      </c>
      <c r="AA40" t="e">
        <f>+F40+H40+J40+L40+N40+P40+R40+T40+V40+X40+Z40</f>
        <v>#DIV/0!</v>
      </c>
    </row>
    <row r="41" spans="1:27" ht="12.75">
      <c r="A41" s="1" t="s">
        <v>20</v>
      </c>
      <c r="B41" s="1"/>
      <c r="C41" s="11">
        <f t="shared" si="4"/>
        <v>12955</v>
      </c>
      <c r="D41" s="1" t="e">
        <f t="shared" si="4"/>
        <v>#DIV/0!</v>
      </c>
      <c r="E41" s="11">
        <v>0</v>
      </c>
      <c r="F41" s="1">
        <f>+F$93*E41</f>
        <v>0</v>
      </c>
      <c r="G41" s="11">
        <v>49</v>
      </c>
      <c r="H41" s="1" t="e">
        <f>+H$93*G41</f>
        <v>#DIV/0!</v>
      </c>
      <c r="I41" s="11">
        <v>4463</v>
      </c>
      <c r="J41" s="1" t="e">
        <f>+J$93*I41</f>
        <v>#DIV/0!</v>
      </c>
      <c r="K41" s="11">
        <v>995</v>
      </c>
      <c r="L41" s="1" t="e">
        <f>+L$93*K41</f>
        <v>#DIV/0!</v>
      </c>
      <c r="M41" s="11">
        <v>1363</v>
      </c>
      <c r="N41" s="1" t="e">
        <f>+N$93*M41</f>
        <v>#DIV/0!</v>
      </c>
      <c r="O41" s="11">
        <v>298</v>
      </c>
      <c r="P41" s="1" t="e">
        <f>+P$93*O41</f>
        <v>#DIV/0!</v>
      </c>
      <c r="Q41" s="11">
        <v>977</v>
      </c>
      <c r="R41" s="1" t="e">
        <f>+R$93*Q41</f>
        <v>#DIV/0!</v>
      </c>
      <c r="S41" s="11">
        <v>501</v>
      </c>
      <c r="T41" s="1" t="e">
        <f>+T$93*S41</f>
        <v>#DIV/0!</v>
      </c>
      <c r="U41" s="11">
        <v>960</v>
      </c>
      <c r="V41" s="1" t="e">
        <f>+V$93*U41</f>
        <v>#DIV/0!</v>
      </c>
      <c r="W41" s="11">
        <v>461</v>
      </c>
      <c r="X41" s="1" t="e">
        <f>+X$93*W41</f>
        <v>#DIV/0!</v>
      </c>
      <c r="Y41" s="11">
        <v>2888</v>
      </c>
      <c r="Z41" s="1" t="e">
        <f>+Z$93*Y41</f>
        <v>#DIV/0!</v>
      </c>
      <c r="AA41" t="e">
        <f>+F41+H41+J41+L41+N41+P41+R41+T41+V41+X41+Z41</f>
        <v>#DIV/0!</v>
      </c>
    </row>
    <row r="42" spans="1:27" ht="12.75">
      <c r="A42" s="1" t="s">
        <v>21</v>
      </c>
      <c r="B42" s="1"/>
      <c r="C42" s="11">
        <f t="shared" si="4"/>
        <v>419152873</v>
      </c>
      <c r="D42" s="1" t="e">
        <f t="shared" si="4"/>
        <v>#DIV/0!</v>
      </c>
      <c r="E42" s="11">
        <v>0</v>
      </c>
      <c r="F42" s="1">
        <f>+F$94*E42</f>
        <v>0</v>
      </c>
      <c r="G42" s="11">
        <v>1084974</v>
      </c>
      <c r="H42" s="1" t="e">
        <f>+H$94*G42</f>
        <v>#DIV/0!</v>
      </c>
      <c r="I42" s="11">
        <v>168253090</v>
      </c>
      <c r="J42" s="1" t="e">
        <f>+J$94*I42</f>
        <v>#DIV/0!</v>
      </c>
      <c r="K42" s="11">
        <v>28615903</v>
      </c>
      <c r="L42" s="1" t="e">
        <f>+L$94*K42</f>
        <v>#DIV/0!</v>
      </c>
      <c r="M42" s="11">
        <v>36232966</v>
      </c>
      <c r="N42" s="1" t="e">
        <f>+N$94*M42</f>
        <v>#DIV/0!</v>
      </c>
      <c r="O42" s="11">
        <v>15095897</v>
      </c>
      <c r="P42" s="1" t="e">
        <f>+P$94*O42</f>
        <v>#DIV/0!</v>
      </c>
      <c r="Q42" s="11">
        <v>31058300</v>
      </c>
      <c r="R42" s="1" t="e">
        <f>+R$94*Q42</f>
        <v>#DIV/0!</v>
      </c>
      <c r="S42" s="11">
        <v>8295003</v>
      </c>
      <c r="T42" s="1" t="e">
        <f>+T$94*S42</f>
        <v>#DIV/0!</v>
      </c>
      <c r="U42" s="11">
        <v>12213238</v>
      </c>
      <c r="V42" s="1" t="e">
        <f>+V$94*U42</f>
        <v>#DIV/0!</v>
      </c>
      <c r="W42" s="11">
        <v>12346953</v>
      </c>
      <c r="X42" s="1" t="e">
        <f>+X$94*W42</f>
        <v>#DIV/0!</v>
      </c>
      <c r="Y42" s="11">
        <v>105956549</v>
      </c>
      <c r="Z42" s="1" t="e">
        <f>+Z$94*Y42</f>
        <v>#DIV/0!</v>
      </c>
      <c r="AA42" t="e">
        <f>+F42+H42+J42+L42+N42+P42+R42+T42+V42+X42+Z42</f>
        <v>#DIV/0!</v>
      </c>
    </row>
    <row r="43" spans="1:26" ht="12.75">
      <c r="A43" s="1" t="s">
        <v>23</v>
      </c>
      <c r="B43" s="1"/>
      <c r="C43" s="11">
        <f>C42/(C41*12)</f>
        <v>2696.210427119516</v>
      </c>
      <c r="D43" s="1" t="e">
        <f>D42/(D41*12)</f>
        <v>#DIV/0!</v>
      </c>
      <c r="E43" s="11"/>
      <c r="F43" s="1">
        <v>0</v>
      </c>
      <c r="G43" s="11"/>
      <c r="H43" s="1" t="e">
        <f>H42/(H41*12)</f>
        <v>#DIV/0!</v>
      </c>
      <c r="I43" s="11"/>
      <c r="J43" s="1" t="e">
        <f>J42/(J41*12)</f>
        <v>#DIV/0!</v>
      </c>
      <c r="K43" s="11"/>
      <c r="L43" s="1" t="e">
        <f>L42/(L41*12)</f>
        <v>#DIV/0!</v>
      </c>
      <c r="M43" s="11"/>
      <c r="N43" s="1" t="e">
        <f>N42/(N41*12)</f>
        <v>#DIV/0!</v>
      </c>
      <c r="O43" s="11"/>
      <c r="P43" s="1" t="e">
        <f>P42/(P41*12)</f>
        <v>#DIV/0!</v>
      </c>
      <c r="Q43" s="11"/>
      <c r="R43" s="1" t="e">
        <f>R42/(R41*12)</f>
        <v>#DIV/0!</v>
      </c>
      <c r="S43" s="11"/>
      <c r="T43" s="1" t="e">
        <f>T42/(T41*12)</f>
        <v>#DIV/0!</v>
      </c>
      <c r="U43" s="11"/>
      <c r="V43" s="1" t="e">
        <f>V42/(V41*12)</f>
        <v>#DIV/0!</v>
      </c>
      <c r="W43" s="11"/>
      <c r="X43" s="1" t="e">
        <f>X42/(X41*12)</f>
        <v>#DIV/0!</v>
      </c>
      <c r="Y43" s="11"/>
      <c r="Z43" s="1" t="e">
        <f>Z42/(Z41*12)</f>
        <v>#DIV/0!</v>
      </c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spans="12:26" ht="12.75">
      <c r="L46" t="s">
        <v>196</v>
      </c>
      <c r="Z46" s="1"/>
    </row>
    <row r="47" spans="16:26" ht="12.75">
      <c r="P47" t="s">
        <v>199</v>
      </c>
      <c r="Z47" s="1"/>
    </row>
    <row r="48" spans="1:26" ht="12.75">
      <c r="A48" s="1"/>
      <c r="B48" s="1"/>
      <c r="C48" s="11"/>
      <c r="D48" s="1"/>
      <c r="E48" s="11"/>
      <c r="F48" s="1"/>
      <c r="G48" s="11"/>
      <c r="H48" s="1"/>
      <c r="I48" s="11"/>
      <c r="J48" s="1"/>
      <c r="K48" s="11"/>
      <c r="L48" s="1"/>
      <c r="M48" s="11"/>
      <c r="N48" s="1"/>
      <c r="O48" s="11"/>
      <c r="P48" s="1"/>
      <c r="Q48" s="11"/>
      <c r="R48" s="1"/>
      <c r="S48" s="11"/>
      <c r="T48" s="1"/>
      <c r="U48" s="11"/>
      <c r="V48" s="1"/>
      <c r="W48" s="11"/>
      <c r="X48" s="1"/>
      <c r="Y48" s="11"/>
      <c r="Z48" s="1"/>
    </row>
    <row r="49" spans="1:26" ht="12.75">
      <c r="A49" s="1"/>
      <c r="B49" s="1"/>
      <c r="C49" s="11"/>
      <c r="D49" s="2"/>
      <c r="E49" s="11"/>
      <c r="F49" s="1"/>
      <c r="G49" s="11"/>
      <c r="H49" s="1"/>
      <c r="I49" s="11"/>
      <c r="J49" s="1"/>
      <c r="K49" s="11"/>
      <c r="L49" s="1" t="s">
        <v>124</v>
      </c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1"/>
      <c r="E50" s="11"/>
      <c r="F50" s="1"/>
      <c r="G50" s="11"/>
      <c r="H50" s="1"/>
      <c r="I50" s="11"/>
      <c r="J50" s="1"/>
      <c r="K50" s="11"/>
      <c r="L50" s="1" t="s">
        <v>187</v>
      </c>
      <c r="M50" s="11"/>
      <c r="N50" s="1"/>
      <c r="O50" s="11"/>
      <c r="P50" s="2" t="s">
        <v>128</v>
      </c>
      <c r="Q50" s="12"/>
      <c r="R50" s="1" t="s">
        <v>129</v>
      </c>
      <c r="S50" s="11"/>
      <c r="T50" s="2" t="s">
        <v>131</v>
      </c>
      <c r="U50" s="12"/>
      <c r="V50" s="2" t="s">
        <v>133</v>
      </c>
      <c r="W50" s="12"/>
      <c r="X50" s="2" t="s">
        <v>140</v>
      </c>
      <c r="Y50" s="12"/>
      <c r="Z50" s="1"/>
    </row>
    <row r="51" spans="1:26" ht="12.75">
      <c r="A51" s="1" t="s">
        <v>185</v>
      </c>
      <c r="B51" s="1"/>
      <c r="C51" s="11"/>
      <c r="D51" s="2" t="s">
        <v>184</v>
      </c>
      <c r="E51" s="12" t="s">
        <v>144</v>
      </c>
      <c r="F51" s="2" t="s">
        <v>7</v>
      </c>
      <c r="G51" s="11" t="s">
        <v>145</v>
      </c>
      <c r="H51" s="1" t="s">
        <v>8</v>
      </c>
      <c r="I51" s="11" t="s">
        <v>146</v>
      </c>
      <c r="J51" s="2" t="s">
        <v>9</v>
      </c>
      <c r="K51" s="11" t="s">
        <v>147</v>
      </c>
      <c r="L51" s="1" t="s">
        <v>125</v>
      </c>
      <c r="M51" s="11" t="s">
        <v>148</v>
      </c>
      <c r="N51" s="2" t="s">
        <v>126</v>
      </c>
      <c r="O51" s="12" t="s">
        <v>149</v>
      </c>
      <c r="P51" s="2" t="s">
        <v>127</v>
      </c>
      <c r="Q51" s="12" t="s">
        <v>150</v>
      </c>
      <c r="R51" s="1" t="s">
        <v>130</v>
      </c>
      <c r="S51" s="11" t="s">
        <v>151</v>
      </c>
      <c r="T51" s="2" t="s">
        <v>132</v>
      </c>
      <c r="U51" s="12" t="s">
        <v>152</v>
      </c>
      <c r="V51" s="2" t="s">
        <v>134</v>
      </c>
      <c r="W51" s="12" t="s">
        <v>153</v>
      </c>
      <c r="X51" s="2" t="s">
        <v>141</v>
      </c>
      <c r="Y51" s="12" t="s">
        <v>154</v>
      </c>
      <c r="Z51" s="2" t="s">
        <v>94</v>
      </c>
    </row>
    <row r="52" spans="1:26" ht="12.75">
      <c r="A52" s="1"/>
      <c r="B52" s="1"/>
      <c r="C52" s="11"/>
      <c r="D52" s="1"/>
      <c r="E52" s="11"/>
      <c r="F52" s="1"/>
      <c r="G52" s="11"/>
      <c r="H52" s="1"/>
      <c r="I52" s="11"/>
      <c r="J52" s="1"/>
      <c r="K52" s="11"/>
      <c r="L52" s="1"/>
      <c r="M52" s="11"/>
      <c r="N52" s="1"/>
      <c r="O52" s="11"/>
      <c r="P52" s="1"/>
      <c r="Q52" s="11"/>
      <c r="R52" s="1"/>
      <c r="S52" s="11"/>
      <c r="T52" s="1"/>
      <c r="U52" s="11"/>
      <c r="V52" s="1"/>
      <c r="W52" s="11"/>
      <c r="X52" s="1"/>
      <c r="Y52" s="11"/>
      <c r="Z52" s="1"/>
    </row>
    <row r="53" spans="1:26" ht="12.75">
      <c r="A53" s="19" t="s">
        <v>82</v>
      </c>
      <c r="B53" s="1"/>
      <c r="C53" s="11"/>
      <c r="D53" s="1"/>
      <c r="E53" s="11"/>
      <c r="F53" s="1"/>
      <c r="G53" s="11"/>
      <c r="H53" s="1"/>
      <c r="I53" s="11"/>
      <c r="J53" s="1"/>
      <c r="K53" s="11"/>
      <c r="L53" s="1"/>
      <c r="M53" s="11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</row>
    <row r="54" spans="1:27" ht="12.75">
      <c r="A54" s="1" t="s">
        <v>18</v>
      </c>
      <c r="B54" s="1"/>
      <c r="C54" s="11">
        <f aca="true" t="shared" si="5" ref="C54:D56">+E54+G54+I54+K54+M54+O54+Q54+S54+U54+W54+Y54</f>
        <v>394</v>
      </c>
      <c r="D54" s="1" t="e">
        <f t="shared" si="5"/>
        <v>#DIV/0!</v>
      </c>
      <c r="E54" s="11">
        <v>0</v>
      </c>
      <c r="F54" s="1">
        <f>+F$92*E54</f>
        <v>0</v>
      </c>
      <c r="G54" s="15">
        <v>21</v>
      </c>
      <c r="H54" s="1" t="e">
        <f>+H$92*G54</f>
        <v>#DIV/0!</v>
      </c>
      <c r="I54" s="11">
        <v>21</v>
      </c>
      <c r="J54" s="1" t="e">
        <f>+J$92*I54</f>
        <v>#DIV/0!</v>
      </c>
      <c r="K54" s="15">
        <v>152</v>
      </c>
      <c r="L54" s="1" t="e">
        <f>+L$92*K54</f>
        <v>#DIV/0!</v>
      </c>
      <c r="M54" s="11">
        <v>5</v>
      </c>
      <c r="N54" s="1" t="e">
        <f>+N$92*M54</f>
        <v>#DIV/0!</v>
      </c>
      <c r="O54" s="11">
        <v>46</v>
      </c>
      <c r="P54" s="1" t="e">
        <f>+P$92*O54</f>
        <v>#DIV/0!</v>
      </c>
      <c r="Q54" s="11">
        <v>54</v>
      </c>
      <c r="R54" s="1" t="e">
        <f>+R$92*Q54</f>
        <v>#DIV/0!</v>
      </c>
      <c r="S54" s="11">
        <v>8</v>
      </c>
      <c r="T54" s="1" t="e">
        <f>+T$92*S54</f>
        <v>#DIV/0!</v>
      </c>
      <c r="U54" s="11">
        <v>25</v>
      </c>
      <c r="V54" s="1" t="e">
        <f>+V$92*U54</f>
        <v>#DIV/0!</v>
      </c>
      <c r="W54" s="11">
        <v>47</v>
      </c>
      <c r="X54" s="1" t="e">
        <f>+X$92*W54</f>
        <v>#DIV/0!</v>
      </c>
      <c r="Y54" s="11">
        <v>15</v>
      </c>
      <c r="Z54" s="1" t="e">
        <f>+Z$92*Y54</f>
        <v>#DIV/0!</v>
      </c>
      <c r="AA54" t="e">
        <f>+F54+H54+J54+L54+N54+P54+R54+T54+V54+X54+Z54</f>
        <v>#DIV/0!</v>
      </c>
    </row>
    <row r="55" spans="1:27" ht="12.75">
      <c r="A55" s="1" t="s">
        <v>20</v>
      </c>
      <c r="B55" s="1"/>
      <c r="C55" s="11">
        <f t="shared" si="5"/>
        <v>7777</v>
      </c>
      <c r="D55" s="1" t="e">
        <f t="shared" si="5"/>
        <v>#DIV/0!</v>
      </c>
      <c r="E55" s="11">
        <v>0</v>
      </c>
      <c r="F55" s="1">
        <f>+F$93*E55</f>
        <v>0</v>
      </c>
      <c r="G55" s="15">
        <v>229</v>
      </c>
      <c r="H55" s="1" t="e">
        <f>+H$93*G55</f>
        <v>#DIV/0!</v>
      </c>
      <c r="I55" s="11">
        <v>585</v>
      </c>
      <c r="J55" s="1" t="e">
        <f>+J$93*I55</f>
        <v>#DIV/0!</v>
      </c>
      <c r="K55" s="15">
        <v>3064</v>
      </c>
      <c r="L55" s="1" t="e">
        <f>+L$93*K55</f>
        <v>#DIV/0!</v>
      </c>
      <c r="M55" s="11">
        <v>64</v>
      </c>
      <c r="N55" s="1" t="e">
        <f>+N$93*M55</f>
        <v>#DIV/0!</v>
      </c>
      <c r="O55" s="11">
        <v>429</v>
      </c>
      <c r="P55" s="1" t="e">
        <f>+P$93*O55</f>
        <v>#DIV/0!</v>
      </c>
      <c r="Q55" s="11">
        <v>1588</v>
      </c>
      <c r="R55" s="1" t="e">
        <f>+R$93*Q55</f>
        <v>#DIV/0!</v>
      </c>
      <c r="S55" s="11">
        <v>361</v>
      </c>
      <c r="T55" s="1" t="e">
        <f>+T$93*S55</f>
        <v>#DIV/0!</v>
      </c>
      <c r="U55" s="11">
        <v>409</v>
      </c>
      <c r="V55" s="1" t="e">
        <f>+V$93*U55</f>
        <v>#DIV/0!</v>
      </c>
      <c r="W55" s="11">
        <v>310</v>
      </c>
      <c r="X55" s="1" t="e">
        <f>+X$93*W55</f>
        <v>#DIV/0!</v>
      </c>
      <c r="Y55" s="11">
        <v>738</v>
      </c>
      <c r="Z55" s="1" t="e">
        <f>+Z$93*Y55</f>
        <v>#DIV/0!</v>
      </c>
      <c r="AA55" t="e">
        <f>+F55+H55+J55+L55+N55+P55+R55+T55+V55+X55+Z55</f>
        <v>#DIV/0!</v>
      </c>
    </row>
    <row r="56" spans="1:27" ht="12.75">
      <c r="A56" s="1" t="s">
        <v>21</v>
      </c>
      <c r="B56" s="1"/>
      <c r="C56" s="11">
        <f t="shared" si="5"/>
        <v>234732134</v>
      </c>
      <c r="D56" s="1" t="e">
        <f t="shared" si="5"/>
        <v>#DIV/0!</v>
      </c>
      <c r="E56" s="11">
        <v>0</v>
      </c>
      <c r="F56" s="1">
        <f>+F$94*E56</f>
        <v>0</v>
      </c>
      <c r="G56" s="15">
        <v>5949878</v>
      </c>
      <c r="H56" s="1" t="e">
        <f>+H$94*G56</f>
        <v>#DIV/0!</v>
      </c>
      <c r="I56" s="11">
        <v>20521585</v>
      </c>
      <c r="J56" s="1" t="e">
        <f>+J$94*I56</f>
        <v>#DIV/0!</v>
      </c>
      <c r="K56" s="15">
        <v>82462102</v>
      </c>
      <c r="L56" s="1" t="e">
        <f>+L$94*K56</f>
        <v>#DIV/0!</v>
      </c>
      <c r="M56" s="11">
        <v>31010853</v>
      </c>
      <c r="N56" s="1" t="e">
        <f>+N$94*M56</f>
        <v>#DIV/0!</v>
      </c>
      <c r="O56" s="11">
        <v>14756466</v>
      </c>
      <c r="P56" s="1" t="e">
        <f>+P$94*O56</f>
        <v>#DIV/0!</v>
      </c>
      <c r="Q56" s="11">
        <v>32405015</v>
      </c>
      <c r="R56" s="1" t="e">
        <f>+R$94*Q56</f>
        <v>#DIV/0!</v>
      </c>
      <c r="S56" s="11">
        <v>6418491</v>
      </c>
      <c r="T56" s="1" t="e">
        <f>+T$94*S56</f>
        <v>#DIV/0!</v>
      </c>
      <c r="U56" s="11">
        <v>4740593</v>
      </c>
      <c r="V56" s="1" t="e">
        <f>+V$94*U56</f>
        <v>#DIV/0!</v>
      </c>
      <c r="W56" s="11">
        <v>8217075</v>
      </c>
      <c r="X56" s="1" t="e">
        <f>+X$94*W56</f>
        <v>#DIV/0!</v>
      </c>
      <c r="Y56" s="11">
        <v>28250076</v>
      </c>
      <c r="Z56" s="1" t="e">
        <f>+Z$94*Y56</f>
        <v>#DIV/0!</v>
      </c>
      <c r="AA56" t="e">
        <f>+F56+H56+J56+L56+N56+P56+R56+T56+V56+X56+Z56</f>
        <v>#DIV/0!</v>
      </c>
    </row>
    <row r="57" spans="1:26" ht="12.75">
      <c r="A57" s="1" t="s">
        <v>23</v>
      </c>
      <c r="B57" s="1"/>
      <c r="C57" s="11">
        <f>C56/(C55*12)</f>
        <v>2515.2386738673868</v>
      </c>
      <c r="D57" s="1" t="e">
        <f>D56/(D55*12)</f>
        <v>#DIV/0!</v>
      </c>
      <c r="E57" s="11"/>
      <c r="F57" s="1">
        <v>0</v>
      </c>
      <c r="G57" s="15"/>
      <c r="H57" s="1" t="e">
        <f>H56/(H55*12)</f>
        <v>#DIV/0!</v>
      </c>
      <c r="I57" s="11"/>
      <c r="J57" s="1" t="e">
        <f>J56/(J55*12)</f>
        <v>#DIV/0!</v>
      </c>
      <c r="K57" s="15"/>
      <c r="L57" s="1" t="e">
        <f>L56/(L55*12)</f>
        <v>#DIV/0!</v>
      </c>
      <c r="M57" s="11"/>
      <c r="N57" s="1" t="e">
        <f>N56/(N55*12)</f>
        <v>#DIV/0!</v>
      </c>
      <c r="O57" s="11"/>
      <c r="P57" s="1" t="e">
        <f>P56/(P55*12)</f>
        <v>#DIV/0!</v>
      </c>
      <c r="Q57" s="11"/>
      <c r="R57" s="1" t="e">
        <f>R56/(R55*12)</f>
        <v>#DIV/0!</v>
      </c>
      <c r="S57" s="11"/>
      <c r="T57" s="1" t="e">
        <f>T56/(T55*12)</f>
        <v>#DIV/0!</v>
      </c>
      <c r="U57" s="11"/>
      <c r="V57" s="1" t="e">
        <f>V56/(V55*12)</f>
        <v>#DIV/0!</v>
      </c>
      <c r="W57" s="11"/>
      <c r="X57" s="1" t="e">
        <f>X56/(X55*12)</f>
        <v>#DIV/0!</v>
      </c>
      <c r="Y57" s="11"/>
      <c r="Z57" s="1" t="e">
        <f>Z56/(Z55*12)</f>
        <v>#DIV/0!</v>
      </c>
    </row>
    <row r="58" spans="1:26" ht="12.75">
      <c r="A58" s="1"/>
      <c r="B58" s="1"/>
      <c r="C58" s="11"/>
      <c r="D58" s="1"/>
      <c r="E58" s="11"/>
      <c r="F58" s="1"/>
      <c r="G58" s="11"/>
      <c r="H58" s="1"/>
      <c r="I58" s="11"/>
      <c r="J58" s="1"/>
      <c r="K58" s="11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9" t="s">
        <v>92</v>
      </c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7" ht="12.75">
      <c r="A60" s="1" t="s">
        <v>18</v>
      </c>
      <c r="B60" s="1"/>
      <c r="C60" s="11">
        <f aca="true" t="shared" si="6" ref="C60:D62">+E60+G60+I60+K60+M60+O60+Q60+S60+U60+W60+Y60</f>
        <v>193</v>
      </c>
      <c r="D60" s="1" t="e">
        <f t="shared" si="6"/>
        <v>#DIV/0!</v>
      </c>
      <c r="E60" s="11">
        <v>0</v>
      </c>
      <c r="F60" s="1">
        <f>+F$92*E60</f>
        <v>0</v>
      </c>
      <c r="G60" s="15">
        <v>16</v>
      </c>
      <c r="H60" s="1" t="e">
        <f>+H$92*G60</f>
        <v>#DIV/0!</v>
      </c>
      <c r="I60" s="11">
        <v>8</v>
      </c>
      <c r="J60" s="1" t="e">
        <f>+J$92*I60</f>
        <v>#DIV/0!</v>
      </c>
      <c r="K60" s="11">
        <v>24</v>
      </c>
      <c r="L60" s="1" t="e">
        <f>+L$92*K60</f>
        <v>#DIV/0!</v>
      </c>
      <c r="M60" s="15">
        <v>0</v>
      </c>
      <c r="N60" s="1" t="e">
        <f>+N$92*M60</f>
        <v>#DIV/0!</v>
      </c>
      <c r="O60" s="11">
        <v>23</v>
      </c>
      <c r="P60" s="1" t="e">
        <f>+P$92*O60</f>
        <v>#DIV/0!</v>
      </c>
      <c r="Q60" s="11">
        <v>29</v>
      </c>
      <c r="R60" s="1" t="e">
        <f>+R$92*Q60</f>
        <v>#DIV/0!</v>
      </c>
      <c r="S60" s="11">
        <v>51</v>
      </c>
      <c r="T60" s="1" t="e">
        <f>+T$92*S60</f>
        <v>#DIV/0!</v>
      </c>
      <c r="U60" s="11">
        <v>9</v>
      </c>
      <c r="V60" s="1" t="e">
        <f>+V$92*U60</f>
        <v>#DIV/0!</v>
      </c>
      <c r="W60" s="11">
        <v>19</v>
      </c>
      <c r="X60" s="1" t="e">
        <f>+X$92*W60</f>
        <v>#DIV/0!</v>
      </c>
      <c r="Y60" s="11">
        <v>14</v>
      </c>
      <c r="Z60" s="1" t="e">
        <f>+Z$92*Y60</f>
        <v>#DIV/0!</v>
      </c>
      <c r="AA60" t="e">
        <f>+F60+H60+J60+L60+N60+P60+R60+T60+V60+X60+Z60</f>
        <v>#DIV/0!</v>
      </c>
    </row>
    <row r="61" spans="1:27" ht="12.75">
      <c r="A61" s="1" t="s">
        <v>20</v>
      </c>
      <c r="B61" s="1"/>
      <c r="C61" s="11">
        <f t="shared" si="6"/>
        <v>2807</v>
      </c>
      <c r="D61" s="1" t="e">
        <f t="shared" si="6"/>
        <v>#DIV/0!</v>
      </c>
      <c r="E61" s="11">
        <v>0</v>
      </c>
      <c r="F61" s="1">
        <f>+F$93*E61</f>
        <v>0</v>
      </c>
      <c r="G61" s="15">
        <v>54</v>
      </c>
      <c r="H61" s="1" t="e">
        <f>+H$93*G61</f>
        <v>#DIV/0!</v>
      </c>
      <c r="I61" s="11">
        <v>31</v>
      </c>
      <c r="J61" s="1" t="e">
        <f>+J$93*I61</f>
        <v>#DIV/0!</v>
      </c>
      <c r="K61" s="11">
        <v>323</v>
      </c>
      <c r="L61" s="1" t="e">
        <f>+L$93*K61</f>
        <v>#DIV/0!</v>
      </c>
      <c r="M61" s="15">
        <v>0</v>
      </c>
      <c r="N61" s="1" t="e">
        <f>+N$93*M61</f>
        <v>#DIV/0!</v>
      </c>
      <c r="O61" s="11">
        <v>101</v>
      </c>
      <c r="P61" s="1" t="e">
        <f>+P$93*O61</f>
        <v>#DIV/0!</v>
      </c>
      <c r="Q61" s="11">
        <v>199</v>
      </c>
      <c r="R61" s="1" t="e">
        <f>+R$93*Q61</f>
        <v>#DIV/0!</v>
      </c>
      <c r="S61" s="11">
        <v>596</v>
      </c>
      <c r="T61" s="1" t="e">
        <f>+T$93*S61</f>
        <v>#DIV/0!</v>
      </c>
      <c r="U61" s="11">
        <v>297</v>
      </c>
      <c r="V61" s="1" t="e">
        <f>+V$93*U61</f>
        <v>#DIV/0!</v>
      </c>
      <c r="W61" s="11">
        <v>90</v>
      </c>
      <c r="X61" s="1" t="e">
        <f>+X$93*W61</f>
        <v>#DIV/0!</v>
      </c>
      <c r="Y61" s="11">
        <v>1116</v>
      </c>
      <c r="Z61" s="1" t="e">
        <f>+Z$93*Y61</f>
        <v>#DIV/0!</v>
      </c>
      <c r="AA61" t="e">
        <f>+F61+H61+J61+L61+N61+P61+R61+T61+V61+X61+Z61</f>
        <v>#DIV/0!</v>
      </c>
    </row>
    <row r="62" spans="1:27" ht="12.75">
      <c r="A62" s="1" t="s">
        <v>21</v>
      </c>
      <c r="B62" s="1"/>
      <c r="C62" s="11">
        <f t="shared" si="6"/>
        <v>57183353</v>
      </c>
      <c r="D62" s="1" t="e">
        <f t="shared" si="6"/>
        <v>#DIV/0!</v>
      </c>
      <c r="E62" s="11">
        <v>0</v>
      </c>
      <c r="F62" s="1">
        <f>+F$94*E62</f>
        <v>0</v>
      </c>
      <c r="G62" s="15">
        <v>1304076</v>
      </c>
      <c r="H62" s="1" t="e">
        <f>+H$94*G62</f>
        <v>#DIV/0!</v>
      </c>
      <c r="I62" s="11">
        <v>527158</v>
      </c>
      <c r="J62" s="1" t="e">
        <f>+J$94*I62</f>
        <v>#DIV/0!</v>
      </c>
      <c r="K62" s="11">
        <v>6341310</v>
      </c>
      <c r="L62" s="1" t="e">
        <f>+L$94*K62</f>
        <v>#DIV/0!</v>
      </c>
      <c r="M62" s="15">
        <v>0</v>
      </c>
      <c r="N62" s="1" t="e">
        <f>+N$94*M62</f>
        <v>#DIV/0!</v>
      </c>
      <c r="O62" s="11">
        <v>3555287</v>
      </c>
      <c r="P62" s="1" t="e">
        <f>+P$94*O62</f>
        <v>#DIV/0!</v>
      </c>
      <c r="Q62" s="11">
        <v>5782410</v>
      </c>
      <c r="R62" s="1" t="e">
        <f>+R$94*Q62</f>
        <v>#DIV/0!</v>
      </c>
      <c r="S62" s="11">
        <v>13528962</v>
      </c>
      <c r="T62" s="1" t="e">
        <f>+T$94*S62</f>
        <v>#DIV/0!</v>
      </c>
      <c r="U62" s="11">
        <v>3082948</v>
      </c>
      <c r="V62" s="1" t="e">
        <f>+V$94*U62</f>
        <v>#DIV/0!</v>
      </c>
      <c r="W62" s="11">
        <v>1406734</v>
      </c>
      <c r="X62" s="1" t="e">
        <f>+X$94*W62</f>
        <v>#DIV/0!</v>
      </c>
      <c r="Y62" s="11">
        <v>21654468</v>
      </c>
      <c r="Z62" s="1" t="e">
        <f>+Z$94*Y62</f>
        <v>#DIV/0!</v>
      </c>
      <c r="AA62" t="e">
        <f>+F62+H62+J62+L62+N62+P62+R62+T62+V62+X62+Z62</f>
        <v>#DIV/0!</v>
      </c>
    </row>
    <row r="63" spans="1:26" ht="12.75">
      <c r="A63" s="1" t="s">
        <v>23</v>
      </c>
      <c r="B63" s="1"/>
      <c r="C63" s="11">
        <f>C62/(C61*12)</f>
        <v>1697.6414024462654</v>
      </c>
      <c r="D63" s="1" t="e">
        <f>D62/(D61*12)</f>
        <v>#DIV/0!</v>
      </c>
      <c r="E63" s="11"/>
      <c r="F63" s="1">
        <v>0</v>
      </c>
      <c r="G63" s="15"/>
      <c r="H63" s="1" t="e">
        <f>H62/(H61*12)</f>
        <v>#DIV/0!</v>
      </c>
      <c r="I63" s="11"/>
      <c r="J63" s="1" t="e">
        <f>J62/(J61*12)</f>
        <v>#DIV/0!</v>
      </c>
      <c r="K63" s="11"/>
      <c r="L63" s="1" t="e">
        <f>L62/(L61*12)</f>
        <v>#DIV/0!</v>
      </c>
      <c r="M63" s="15"/>
      <c r="N63" s="1">
        <v>0</v>
      </c>
      <c r="O63" s="11"/>
      <c r="P63" s="1" t="e">
        <f>P62/(P61*12)</f>
        <v>#DIV/0!</v>
      </c>
      <c r="Q63" s="11"/>
      <c r="R63" s="1" t="e">
        <f>R62/(R61*12)</f>
        <v>#DIV/0!</v>
      </c>
      <c r="S63" s="11"/>
      <c r="T63" s="1" t="e">
        <f>T62/(T61*12)</f>
        <v>#DIV/0!</v>
      </c>
      <c r="U63" s="11"/>
      <c r="V63" s="1" t="e">
        <f>V62/(V61*12)</f>
        <v>#DIV/0!</v>
      </c>
      <c r="W63" s="11"/>
      <c r="X63" s="1" t="e">
        <f>X62/(X61*12)</f>
        <v>#DIV/0!</v>
      </c>
      <c r="Y63" s="11"/>
      <c r="Z63" s="1" t="e">
        <f>Z62/(Z61*12)</f>
        <v>#DIV/0!</v>
      </c>
    </row>
    <row r="64" spans="1:26" ht="12.75">
      <c r="A64" s="1"/>
      <c r="B64" s="1"/>
      <c r="C64" s="11"/>
      <c r="D64" s="1"/>
      <c r="E64" s="11"/>
      <c r="F64" s="1"/>
      <c r="G64" s="11"/>
      <c r="H64" s="1"/>
      <c r="I64" s="11"/>
      <c r="J64" s="1"/>
      <c r="K64" s="11"/>
      <c r="L64" s="1"/>
      <c r="M64" s="11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 t="s">
        <v>99</v>
      </c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7" ht="12.75">
      <c r="A66" s="1" t="s">
        <v>18</v>
      </c>
      <c r="B66" s="1"/>
      <c r="C66" s="11">
        <f aca="true" t="shared" si="7" ref="C66:D68">+E66+G66+I66+K66+M66+O66+Q66+S66+U66+W66+Y66</f>
        <v>1246</v>
      </c>
      <c r="D66" s="1" t="e">
        <f t="shared" si="7"/>
        <v>#DIV/0!</v>
      </c>
      <c r="E66" s="11">
        <v>0</v>
      </c>
      <c r="F66" s="1">
        <f>+F$92*E66</f>
        <v>0</v>
      </c>
      <c r="G66" s="11">
        <v>92</v>
      </c>
      <c r="H66" s="1" t="e">
        <f>+H$92*G66</f>
        <v>#DIV/0!</v>
      </c>
      <c r="I66" s="11">
        <v>29</v>
      </c>
      <c r="J66" s="1" t="e">
        <f>+J$92*I66</f>
        <v>#DIV/0!</v>
      </c>
      <c r="K66" s="11">
        <v>230</v>
      </c>
      <c r="L66" s="1" t="e">
        <f>+L$92*K66</f>
        <v>#DIV/0!</v>
      </c>
      <c r="M66" s="11">
        <v>17</v>
      </c>
      <c r="N66" s="1" t="e">
        <f>+N$92*M66</f>
        <v>#DIV/0!</v>
      </c>
      <c r="O66" s="11">
        <v>193</v>
      </c>
      <c r="P66" s="1" t="e">
        <f>+P$92*O66</f>
        <v>#DIV/0!</v>
      </c>
      <c r="Q66" s="11">
        <v>192</v>
      </c>
      <c r="R66" s="1" t="e">
        <f>+R$92*Q66</f>
        <v>#DIV/0!</v>
      </c>
      <c r="S66" s="11">
        <v>253</v>
      </c>
      <c r="T66" s="1" t="e">
        <f>+T$92*S66</f>
        <v>#DIV/0!</v>
      </c>
      <c r="U66" s="11">
        <v>95</v>
      </c>
      <c r="V66" s="1" t="e">
        <f>+V$92*U66</f>
        <v>#DIV/0!</v>
      </c>
      <c r="W66" s="11">
        <f>86+1</f>
        <v>87</v>
      </c>
      <c r="X66" s="1" t="e">
        <f>+X$92*W66</f>
        <v>#DIV/0!</v>
      </c>
      <c r="Y66" s="11">
        <v>58</v>
      </c>
      <c r="Z66" s="1" t="e">
        <f>+Z$92*Y66</f>
        <v>#DIV/0!</v>
      </c>
      <c r="AA66" t="e">
        <f>+F66+H66+J66+L66+N66+P66+R66+T66+V66+X66+Z66</f>
        <v>#DIV/0!</v>
      </c>
    </row>
    <row r="67" spans="1:27" ht="12.75">
      <c r="A67" s="1" t="s">
        <v>20</v>
      </c>
      <c r="B67" s="1"/>
      <c r="C67" s="11">
        <f t="shared" si="7"/>
        <v>24583</v>
      </c>
      <c r="D67" s="1" t="e">
        <f t="shared" si="7"/>
        <v>#DIV/0!</v>
      </c>
      <c r="E67" s="11">
        <v>0</v>
      </c>
      <c r="F67" s="1">
        <f>+F$93*E67</f>
        <v>0</v>
      </c>
      <c r="G67" s="11">
        <v>460</v>
      </c>
      <c r="H67" s="1" t="e">
        <f>+H$93*G67</f>
        <v>#DIV/0!</v>
      </c>
      <c r="I67" s="11">
        <v>640</v>
      </c>
      <c r="J67" s="1" t="e">
        <f>+J$93*I67</f>
        <v>#DIV/0!</v>
      </c>
      <c r="K67" s="11">
        <v>4418</v>
      </c>
      <c r="L67" s="1" t="e">
        <f>+L$93*K67</f>
        <v>#DIV/0!</v>
      </c>
      <c r="M67" s="11">
        <v>360</v>
      </c>
      <c r="N67" s="1" t="e">
        <f>+N$93*M67</f>
        <v>#DIV/0!</v>
      </c>
      <c r="O67" s="11">
        <v>1840</v>
      </c>
      <c r="P67" s="1" t="e">
        <f>+P$93*O67</f>
        <v>#DIV/0!</v>
      </c>
      <c r="Q67" s="11">
        <v>3601</v>
      </c>
      <c r="R67" s="1" t="e">
        <f>+R$93*Q67</f>
        <v>#DIV/0!</v>
      </c>
      <c r="S67" s="11">
        <v>6197</v>
      </c>
      <c r="T67" s="1" t="e">
        <f>+T$93*S67</f>
        <v>#DIV/0!</v>
      </c>
      <c r="U67" s="11">
        <v>2140</v>
      </c>
      <c r="V67" s="1" t="e">
        <f>+V$93*U67</f>
        <v>#DIV/0!</v>
      </c>
      <c r="W67" s="11">
        <v>577</v>
      </c>
      <c r="X67" s="1" t="e">
        <f>+X$93*W67</f>
        <v>#DIV/0!</v>
      </c>
      <c r="Y67" s="11">
        <v>4350</v>
      </c>
      <c r="Z67" s="1" t="e">
        <f>+Z$93*Y67</f>
        <v>#DIV/0!</v>
      </c>
      <c r="AA67" t="e">
        <f>+F67+H67+J67+L67+N67+P67+R67+T67+V67+X67+Z67</f>
        <v>#DIV/0!</v>
      </c>
    </row>
    <row r="68" spans="1:27" ht="12.75">
      <c r="A68" s="1" t="s">
        <v>21</v>
      </c>
      <c r="B68" s="1"/>
      <c r="C68" s="11">
        <f t="shared" si="7"/>
        <v>642569201</v>
      </c>
      <c r="D68" s="1" t="e">
        <f t="shared" si="7"/>
        <v>#DIV/0!</v>
      </c>
      <c r="E68" s="11">
        <v>0</v>
      </c>
      <c r="F68" s="1">
        <f>+F$94*E68</f>
        <v>0</v>
      </c>
      <c r="G68" s="11">
        <v>13317857</v>
      </c>
      <c r="H68" s="1" t="e">
        <f>+H$94*G68</f>
        <v>#DIV/0!</v>
      </c>
      <c r="I68" s="11">
        <v>27695994</v>
      </c>
      <c r="J68" s="1" t="e">
        <f>+J$94*I68</f>
        <v>#DIV/0!</v>
      </c>
      <c r="K68" s="11">
        <v>92431403</v>
      </c>
      <c r="L68" s="1" t="e">
        <f>+L$94*K68</f>
        <v>#DIV/0!</v>
      </c>
      <c r="M68" s="11">
        <v>12024974</v>
      </c>
      <c r="N68" s="1" t="e">
        <f>+N$94*M68</f>
        <v>#DIV/0!</v>
      </c>
      <c r="O68" s="11">
        <v>61083378</v>
      </c>
      <c r="P68" s="1" t="e">
        <f>+P$94*O68</f>
        <v>#DIV/0!</v>
      </c>
      <c r="Q68" s="11">
        <v>83003870</v>
      </c>
      <c r="R68" s="1" t="e">
        <f>+R$94*Q68</f>
        <v>#DIV/0!</v>
      </c>
      <c r="S68" s="11">
        <v>208155843</v>
      </c>
      <c r="T68" s="1" t="e">
        <f>+T$94*S68</f>
        <v>#DIV/0!</v>
      </c>
      <c r="U68" s="11">
        <v>18698039</v>
      </c>
      <c r="V68" s="1" t="e">
        <f>+V$94*U68</f>
        <v>#DIV/0!</v>
      </c>
      <c r="W68" s="11">
        <f>8754907+11100</f>
        <v>8766007</v>
      </c>
      <c r="X68" s="1" t="e">
        <f>+X$94*W68</f>
        <v>#DIV/0!</v>
      </c>
      <c r="Y68" s="11">
        <v>117391836</v>
      </c>
      <c r="Z68" s="1" t="e">
        <f>+Z$94*Y68</f>
        <v>#DIV/0!</v>
      </c>
      <c r="AA68" t="e">
        <f>+F68+H68+J68+L68+N68+P68+R68+T68+V68+X68+Z68</f>
        <v>#DIV/0!</v>
      </c>
    </row>
    <row r="69" spans="1:26" ht="12.75">
      <c r="A69" s="1" t="s">
        <v>23</v>
      </c>
      <c r="B69" s="1"/>
      <c r="C69" s="11">
        <f>C68/(C67*12)</f>
        <v>2178.230216680904</v>
      </c>
      <c r="D69" s="1" t="e">
        <f>D68/(D67*12)</f>
        <v>#DIV/0!</v>
      </c>
      <c r="E69" s="11"/>
      <c r="F69" s="1">
        <v>0</v>
      </c>
      <c r="G69" s="11"/>
      <c r="H69" s="1" t="e">
        <f>H68/(H67*12)</f>
        <v>#DIV/0!</v>
      </c>
      <c r="I69" s="11"/>
      <c r="J69" s="1" t="e">
        <f>J68/(J67*12)</f>
        <v>#DIV/0!</v>
      </c>
      <c r="K69" s="11"/>
      <c r="L69" s="1" t="e">
        <f>L68/(L67*12)</f>
        <v>#DIV/0!</v>
      </c>
      <c r="M69" s="11"/>
      <c r="N69" s="1" t="e">
        <f>N68/(N67*12)</f>
        <v>#DIV/0!</v>
      </c>
      <c r="O69" s="11"/>
      <c r="P69" s="1" t="e">
        <f>P68/(P67*12)</f>
        <v>#DIV/0!</v>
      </c>
      <c r="Q69" s="11"/>
      <c r="R69" s="1" t="e">
        <f>R68/(R67*12)</f>
        <v>#DIV/0!</v>
      </c>
      <c r="S69" s="11"/>
      <c r="T69" s="1" t="e">
        <f>T68/(T67*12)</f>
        <v>#DIV/0!</v>
      </c>
      <c r="U69" s="11"/>
      <c r="V69" s="1" t="e">
        <f>V68/(V67*12)</f>
        <v>#DIV/0!</v>
      </c>
      <c r="W69" s="11"/>
      <c r="X69" s="1" t="e">
        <f>X68/(X67*12)</f>
        <v>#DIV/0!</v>
      </c>
      <c r="Y69" s="11"/>
      <c r="Z69" s="1" t="e">
        <f>Z68/(Z67*12)</f>
        <v>#DIV/0!</v>
      </c>
    </row>
    <row r="70" spans="1:26" ht="12.75">
      <c r="A70" s="1"/>
      <c r="B70" s="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9" t="s">
        <v>104</v>
      </c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7" ht="12.75">
      <c r="A72" s="1" t="s">
        <v>18</v>
      </c>
      <c r="B72" s="1"/>
      <c r="C72" s="11">
        <f>+E72+G72+I72+K72+M72+O72+Q72+S72+U72+W72+Y72</f>
        <v>191</v>
      </c>
      <c r="D72" s="1" t="e">
        <f>+F72+H72+L72+P72+R72+T72+V72+Z72</f>
        <v>#DIV/0!</v>
      </c>
      <c r="E72" s="11">
        <v>0</v>
      </c>
      <c r="F72" s="1">
        <f>+F$92*E72</f>
        <v>0</v>
      </c>
      <c r="G72" s="11">
        <v>17</v>
      </c>
      <c r="H72" s="1" t="e">
        <f>+H$92*G72</f>
        <v>#DIV/0!</v>
      </c>
      <c r="I72" s="11">
        <v>4</v>
      </c>
      <c r="J72" s="1" t="e">
        <f>+J$92*I72</f>
        <v>#DIV/0!</v>
      </c>
      <c r="K72" s="11">
        <v>17</v>
      </c>
      <c r="L72" s="1" t="e">
        <f>+L$92*K72</f>
        <v>#DIV/0!</v>
      </c>
      <c r="M72" s="11">
        <v>2</v>
      </c>
      <c r="N72" s="1" t="e">
        <f>+N$92*M72</f>
        <v>#DIV/0!</v>
      </c>
      <c r="O72" s="11">
        <v>23</v>
      </c>
      <c r="P72" s="1" t="e">
        <f>+P$92*O72</f>
        <v>#DIV/0!</v>
      </c>
      <c r="Q72" s="11">
        <v>42</v>
      </c>
      <c r="R72" s="1" t="e">
        <f>+R$92*Q72</f>
        <v>#DIV/0!</v>
      </c>
      <c r="S72" s="11">
        <v>50</v>
      </c>
      <c r="T72" s="1" t="e">
        <f>+T$92*S72</f>
        <v>#DIV/0!</v>
      </c>
      <c r="U72" s="11">
        <v>11</v>
      </c>
      <c r="V72" s="1" t="e">
        <f>+V$92*U72</f>
        <v>#DIV/0!</v>
      </c>
      <c r="W72" s="11">
        <v>17</v>
      </c>
      <c r="X72" s="1" t="e">
        <f>+X$92*W72</f>
        <v>#DIV/0!</v>
      </c>
      <c r="Y72" s="11">
        <v>8</v>
      </c>
      <c r="Z72" s="1" t="e">
        <f>+Z$92*Y72</f>
        <v>#DIV/0!</v>
      </c>
      <c r="AA72" t="e">
        <f>+F72+H72+J72+L72+N72+P72+R72+T72+V72+X72+Z72</f>
        <v>#DIV/0!</v>
      </c>
    </row>
    <row r="73" spans="1:27" ht="12.75">
      <c r="A73" s="1" t="s">
        <v>20</v>
      </c>
      <c r="B73" s="1"/>
      <c r="C73" s="11">
        <f>+E73+G73+I73+K73+M73+O73+Q73+S73+U73+W73+Y73</f>
        <v>2010</v>
      </c>
      <c r="D73" s="1" t="e">
        <f>+F73+H73+L73+P73+R73+T73+V73+Z73</f>
        <v>#DIV/0!</v>
      </c>
      <c r="E73" s="11">
        <v>0</v>
      </c>
      <c r="F73" s="1">
        <f>+F$93*E73</f>
        <v>0</v>
      </c>
      <c r="G73" s="11">
        <v>40</v>
      </c>
      <c r="H73" s="1" t="e">
        <f>+H$93*G73</f>
        <v>#DIV/0!</v>
      </c>
      <c r="I73" s="11">
        <v>15</v>
      </c>
      <c r="J73" s="1" t="e">
        <f>+J$93*I73</f>
        <v>#DIV/0!</v>
      </c>
      <c r="K73" s="11">
        <v>243</v>
      </c>
      <c r="L73" s="1" t="e">
        <f>+L$93*K73</f>
        <v>#DIV/0!</v>
      </c>
      <c r="M73" s="11">
        <v>5</v>
      </c>
      <c r="N73" s="1" t="e">
        <f>+N$93*M73</f>
        <v>#DIV/0!</v>
      </c>
      <c r="O73" s="11">
        <v>128</v>
      </c>
      <c r="P73" s="1" t="e">
        <f>+P$93*O73</f>
        <v>#DIV/0!</v>
      </c>
      <c r="Q73" s="11">
        <v>382</v>
      </c>
      <c r="R73" s="1" t="e">
        <f>+R$93*Q73</f>
        <v>#DIV/0!</v>
      </c>
      <c r="S73" s="11">
        <v>606</v>
      </c>
      <c r="T73" s="1" t="e">
        <f>+T$93*S73</f>
        <v>#DIV/0!</v>
      </c>
      <c r="U73" s="11">
        <v>92</v>
      </c>
      <c r="V73" s="1" t="e">
        <f>+V$93*U73</f>
        <v>#DIV/0!</v>
      </c>
      <c r="W73" s="11">
        <v>69</v>
      </c>
      <c r="X73" s="1" t="e">
        <f>+X$93*W73</f>
        <v>#DIV/0!</v>
      </c>
      <c r="Y73" s="11">
        <v>430</v>
      </c>
      <c r="Z73" s="1" t="e">
        <f>+Z$93*Y73</f>
        <v>#DIV/0!</v>
      </c>
      <c r="AA73" t="e">
        <f>+F73+H73+J73+L73+N73+P73+R73+T73+V73+X73+Z73</f>
        <v>#DIV/0!</v>
      </c>
    </row>
    <row r="74" spans="1:27" ht="12.75">
      <c r="A74" s="1" t="s">
        <v>21</v>
      </c>
      <c r="B74" s="1"/>
      <c r="C74" s="11">
        <f>+E74+G74+I74+K74+M74+O74+Q74+S74+U74+W74+Y74</f>
        <v>49789065</v>
      </c>
      <c r="D74" s="1" t="e">
        <f>+F74+H74+L74+P74+R74+T74+V74+Z74</f>
        <v>#DIV/0!</v>
      </c>
      <c r="E74" s="11">
        <v>0</v>
      </c>
      <c r="F74" s="1">
        <f>+F$94*E74</f>
        <v>0</v>
      </c>
      <c r="G74" s="11">
        <v>699497</v>
      </c>
      <c r="H74" s="1" t="e">
        <f>+H$94*G74</f>
        <v>#DIV/0!</v>
      </c>
      <c r="I74" s="11">
        <v>267997</v>
      </c>
      <c r="J74" s="1" t="e">
        <f>+J$94*I74</f>
        <v>#DIV/0!</v>
      </c>
      <c r="K74" s="11">
        <v>5445292</v>
      </c>
      <c r="L74" s="1" t="e">
        <f>+L$94*K74</f>
        <v>#DIV/0!</v>
      </c>
      <c r="M74" s="11">
        <v>89606</v>
      </c>
      <c r="N74" s="1" t="e">
        <f>+N$94*M74</f>
        <v>#DIV/0!</v>
      </c>
      <c r="O74" s="11">
        <v>4573953</v>
      </c>
      <c r="P74" s="1" t="e">
        <f>+P$94*O74</f>
        <v>#DIV/0!</v>
      </c>
      <c r="Q74" s="11">
        <v>9191712</v>
      </c>
      <c r="R74" s="1" t="e">
        <f>+R$94*Q74</f>
        <v>#DIV/0!</v>
      </c>
      <c r="S74" s="11">
        <v>13281873</v>
      </c>
      <c r="T74" s="1" t="e">
        <f>+T$94*S74</f>
        <v>#DIV/0!</v>
      </c>
      <c r="U74" s="11">
        <v>718570</v>
      </c>
      <c r="V74" s="1" t="e">
        <f>+V$94*U74</f>
        <v>#DIV/0!</v>
      </c>
      <c r="W74" s="11">
        <v>1109440</v>
      </c>
      <c r="X74" s="1" t="e">
        <f>+X$94*W74</f>
        <v>#DIV/0!</v>
      </c>
      <c r="Y74" s="11">
        <v>14411125</v>
      </c>
      <c r="Z74" s="1" t="e">
        <f>+Z$94*Y74</f>
        <v>#DIV/0!</v>
      </c>
      <c r="AA74" t="e">
        <f>+F74+H74+J74+L74+N74+P74+R74+T74+V74+X74+Z74</f>
        <v>#DIV/0!</v>
      </c>
    </row>
    <row r="75" spans="1:26" ht="12.75">
      <c r="A75" s="1" t="s">
        <v>23</v>
      </c>
      <c r="B75" s="1"/>
      <c r="C75" s="11">
        <f>C74/(C73*12)</f>
        <v>2064.2232587064677</v>
      </c>
      <c r="D75" s="1" t="e">
        <f>D74/(D73*12)</f>
        <v>#DIV/0!</v>
      </c>
      <c r="E75" s="11"/>
      <c r="F75" s="1">
        <v>0</v>
      </c>
      <c r="G75" s="11"/>
      <c r="H75" s="1" t="e">
        <f>H74/(H73*12)</f>
        <v>#DIV/0!</v>
      </c>
      <c r="I75" s="11"/>
      <c r="J75" s="1" t="e">
        <f>J74/(J73*12)</f>
        <v>#DIV/0!</v>
      </c>
      <c r="K75" s="11"/>
      <c r="L75" s="1" t="e">
        <f>L74/(L73*12)</f>
        <v>#DIV/0!</v>
      </c>
      <c r="M75" s="11"/>
      <c r="N75" s="1" t="e">
        <f>N74/(N73*12)</f>
        <v>#DIV/0!</v>
      </c>
      <c r="O75" s="11"/>
      <c r="P75" s="1" t="e">
        <f>P74/(P73*12)</f>
        <v>#DIV/0!</v>
      </c>
      <c r="Q75" s="11"/>
      <c r="R75" s="1" t="e">
        <f>R74/(R73*12)</f>
        <v>#DIV/0!</v>
      </c>
      <c r="S75" s="11"/>
      <c r="T75" s="1" t="e">
        <f>T74/(T73*12)</f>
        <v>#DIV/0!</v>
      </c>
      <c r="U75" s="11"/>
      <c r="V75" s="1" t="e">
        <f>V74/(V73*12)</f>
        <v>#DIV/0!</v>
      </c>
      <c r="W75" s="11"/>
      <c r="X75" s="1" t="e">
        <f>X74/(X73*12)</f>
        <v>#DIV/0!</v>
      </c>
      <c r="Y75" s="11"/>
      <c r="Z75" s="1" t="e">
        <f>Z74/(Z73*12)</f>
        <v>#DIV/0!</v>
      </c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 t="s">
        <v>108</v>
      </c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7" ht="12.75">
      <c r="A78" s="1" t="s">
        <v>18</v>
      </c>
      <c r="B78" s="1"/>
      <c r="C78" s="11">
        <f aca="true" t="shared" si="8" ref="C78:D80">+E78+G78+I78+K78+M78+O78+Q78+S78+U78+W78+Y78</f>
        <v>770</v>
      </c>
      <c r="D78" s="1" t="e">
        <f t="shared" si="8"/>
        <v>#DIV/0!</v>
      </c>
      <c r="E78" s="11">
        <v>0</v>
      </c>
      <c r="F78" s="1">
        <f>+F$92*E78</f>
        <v>0</v>
      </c>
      <c r="G78" s="15">
        <v>141</v>
      </c>
      <c r="H78" s="1" t="e">
        <f>+H$92*G78</f>
        <v>#DIV/0!</v>
      </c>
      <c r="I78" s="11">
        <v>42</v>
      </c>
      <c r="J78" s="1" t="e">
        <f>+J$92*I78</f>
        <v>#DIV/0!</v>
      </c>
      <c r="K78" s="11">
        <v>158</v>
      </c>
      <c r="L78" s="1" t="e">
        <f>+L$92*K78</f>
        <v>#DIV/0!</v>
      </c>
      <c r="M78" s="11">
        <v>4</v>
      </c>
      <c r="N78" s="1" t="e">
        <f>+N$92*M78</f>
        <v>#DIV/0!</v>
      </c>
      <c r="O78" s="11">
        <v>83</v>
      </c>
      <c r="P78" s="1" t="e">
        <f>+P$92*O78</f>
        <v>#DIV/0!</v>
      </c>
      <c r="Q78" s="11">
        <v>88</v>
      </c>
      <c r="R78" s="1" t="e">
        <f>+R$92*Q78</f>
        <v>#DIV/0!</v>
      </c>
      <c r="S78" s="11">
        <v>58</v>
      </c>
      <c r="T78" s="1" t="e">
        <f>+T$92*S78</f>
        <v>#DIV/0!</v>
      </c>
      <c r="U78" s="11">
        <v>73</v>
      </c>
      <c r="V78" s="1" t="e">
        <f>+V$92*U78</f>
        <v>#DIV/0!</v>
      </c>
      <c r="W78" s="11">
        <f>60+1</f>
        <v>61</v>
      </c>
      <c r="X78" s="1" t="e">
        <f>+X$92*W78</f>
        <v>#DIV/0!</v>
      </c>
      <c r="Y78" s="11">
        <v>62</v>
      </c>
      <c r="Z78" s="1" t="e">
        <f>+Z$92*Y78</f>
        <v>#DIV/0!</v>
      </c>
      <c r="AA78" t="e">
        <f>+F78+H78+J78+L78+N78+P78+R78+T78+V78+X78+Z78</f>
        <v>#DIV/0!</v>
      </c>
    </row>
    <row r="79" spans="1:27" ht="12.75">
      <c r="A79" s="1" t="s">
        <v>20</v>
      </c>
      <c r="B79" s="1"/>
      <c r="C79" s="11">
        <f t="shared" si="8"/>
        <v>19482</v>
      </c>
      <c r="D79" s="1" t="e">
        <f t="shared" si="8"/>
        <v>#DIV/0!</v>
      </c>
      <c r="E79" s="11">
        <v>0</v>
      </c>
      <c r="F79" s="1">
        <f>+F$93*E79</f>
        <v>0</v>
      </c>
      <c r="G79" s="15">
        <v>1098</v>
      </c>
      <c r="H79" s="1" t="e">
        <f>+H$93*G79</f>
        <v>#DIV/0!</v>
      </c>
      <c r="I79" s="11">
        <v>2754</v>
      </c>
      <c r="J79" s="1" t="e">
        <f>+J$93*I79</f>
        <v>#DIV/0!</v>
      </c>
      <c r="K79" s="11">
        <v>3123</v>
      </c>
      <c r="L79" s="1" t="e">
        <f>+L$93*K79</f>
        <v>#DIV/0!</v>
      </c>
      <c r="M79" s="11">
        <v>48</v>
      </c>
      <c r="N79" s="1" t="e">
        <f>+N$93*M79</f>
        <v>#DIV/0!</v>
      </c>
      <c r="O79" s="11">
        <v>386</v>
      </c>
      <c r="P79" s="1" t="e">
        <f>+P$93*O79</f>
        <v>#DIV/0!</v>
      </c>
      <c r="Q79" s="11">
        <v>519</v>
      </c>
      <c r="R79" s="1" t="e">
        <f>+R$93*Q79</f>
        <v>#DIV/0!</v>
      </c>
      <c r="S79" s="11">
        <v>678</v>
      </c>
      <c r="T79" s="1" t="e">
        <f>+T$93*S79</f>
        <v>#DIV/0!</v>
      </c>
      <c r="U79" s="11">
        <v>1254</v>
      </c>
      <c r="V79" s="1" t="e">
        <f>+V$93*U79</f>
        <v>#DIV/0!</v>
      </c>
      <c r="W79" s="11">
        <f>1+362</f>
        <v>363</v>
      </c>
      <c r="X79" s="1" t="e">
        <f>+X$93*W79</f>
        <v>#DIV/0!</v>
      </c>
      <c r="Y79" s="11">
        <v>9259</v>
      </c>
      <c r="Z79" s="1" t="e">
        <f>+Z$93*Y79</f>
        <v>#DIV/0!</v>
      </c>
      <c r="AA79" t="e">
        <f>+F79+H79+J79+L79+N79+P79+R79+T79+V79+X79+Z79</f>
        <v>#DIV/0!</v>
      </c>
    </row>
    <row r="80" spans="1:27" ht="12.75">
      <c r="A80" s="1" t="s">
        <v>21</v>
      </c>
      <c r="B80" s="1"/>
      <c r="C80" s="11">
        <f t="shared" si="8"/>
        <v>551725446</v>
      </c>
      <c r="D80" s="1" t="e">
        <f t="shared" si="8"/>
        <v>#DIV/0!</v>
      </c>
      <c r="E80" s="11">
        <v>0</v>
      </c>
      <c r="F80" s="1">
        <f>+F$94*E80</f>
        <v>0</v>
      </c>
      <c r="G80" s="15">
        <v>35470805</v>
      </c>
      <c r="H80" s="1" t="e">
        <f>+H$94*G80</f>
        <v>#DIV/0!</v>
      </c>
      <c r="I80" s="11">
        <v>115657725</v>
      </c>
      <c r="J80" s="1" t="e">
        <f>+J$94*I80</f>
        <v>#DIV/0!</v>
      </c>
      <c r="K80" s="11">
        <v>62893355</v>
      </c>
      <c r="L80" s="1" t="e">
        <f>+L$94*K80</f>
        <v>#DIV/0!</v>
      </c>
      <c r="M80" s="11">
        <v>304314</v>
      </c>
      <c r="N80" s="1" t="e">
        <f>+N$94*M80</f>
        <v>#DIV/0!</v>
      </c>
      <c r="O80" s="11">
        <v>7418972</v>
      </c>
      <c r="P80" s="1" t="e">
        <f>+P$94*O80</f>
        <v>#DIV/0!</v>
      </c>
      <c r="Q80" s="11">
        <v>10647254</v>
      </c>
      <c r="R80" s="1" t="e">
        <f>+R$94*Q80</f>
        <v>#DIV/0!</v>
      </c>
      <c r="S80" s="11">
        <v>13349274</v>
      </c>
      <c r="T80" s="1" t="e">
        <f>+T$94*S80</f>
        <v>#DIV/0!</v>
      </c>
      <c r="U80" s="11">
        <v>12728239</v>
      </c>
      <c r="V80" s="1" t="e">
        <f>+V$94*U80</f>
        <v>#DIV/0!</v>
      </c>
      <c r="W80" s="11">
        <f>21600+5863652</f>
        <v>5885252</v>
      </c>
      <c r="X80" s="1" t="e">
        <f>+X$94*W80</f>
        <v>#DIV/0!</v>
      </c>
      <c r="Y80" s="11">
        <v>287370256</v>
      </c>
      <c r="Z80" s="1" t="e">
        <f>+Z$94*Y80</f>
        <v>#DIV/0!</v>
      </c>
      <c r="AA80" t="e">
        <f>+F80+H80+J80+L80+N80+P80+R80+T80+V80+X80+Z80</f>
        <v>#DIV/0!</v>
      </c>
    </row>
    <row r="81" spans="1:26" ht="12.75">
      <c r="A81" s="1" t="s">
        <v>23</v>
      </c>
      <c r="B81" s="1"/>
      <c r="C81" s="11">
        <f>C80/(C79*12)</f>
        <v>2359.9794938917976</v>
      </c>
      <c r="D81" s="1" t="e">
        <f>D80/(D79*12)</f>
        <v>#DIV/0!</v>
      </c>
      <c r="E81" s="11"/>
      <c r="F81" s="1">
        <v>0</v>
      </c>
      <c r="G81" s="15"/>
      <c r="H81" s="1" t="e">
        <f>H80/(H79*12)</f>
        <v>#DIV/0!</v>
      </c>
      <c r="I81" s="11"/>
      <c r="J81" s="1" t="e">
        <f>J80/(J79*12)</f>
        <v>#DIV/0!</v>
      </c>
      <c r="K81" s="11"/>
      <c r="L81" s="1" t="e">
        <f>L80/(L79*12)</f>
        <v>#DIV/0!</v>
      </c>
      <c r="M81" s="11"/>
      <c r="N81" s="1" t="e">
        <f>N80/(N79*12)</f>
        <v>#DIV/0!</v>
      </c>
      <c r="O81" s="11"/>
      <c r="P81" s="1" t="e">
        <f>P80/(P79*12)</f>
        <v>#DIV/0!</v>
      </c>
      <c r="Q81" s="11"/>
      <c r="R81" s="1" t="e">
        <f>R80/(R79*12)</f>
        <v>#DIV/0!</v>
      </c>
      <c r="S81" s="11"/>
      <c r="T81" s="1" t="e">
        <f>T80/(T79*12)</f>
        <v>#DIV/0!</v>
      </c>
      <c r="U81" s="11"/>
      <c r="V81" s="1" t="e">
        <f>V80/(V79*12)</f>
        <v>#DIV/0!</v>
      </c>
      <c r="W81" s="11"/>
      <c r="X81" s="1" t="e">
        <f>X80/(X79*12)</f>
        <v>#DIV/0!</v>
      </c>
      <c r="Y81" s="11"/>
      <c r="Z81" s="1" t="e">
        <f>Z80/(Z79*12)</f>
        <v>#DIV/0!</v>
      </c>
    </row>
    <row r="82" spans="1:26" ht="12.75">
      <c r="A82" s="1"/>
      <c r="B82" s="1"/>
      <c r="C82" s="11"/>
      <c r="D82" s="1"/>
      <c r="E82" s="11"/>
      <c r="F82" s="3"/>
      <c r="G82" s="15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9" t="s">
        <v>112</v>
      </c>
      <c r="B83" s="1"/>
      <c r="C83" s="1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7" ht="12.75">
      <c r="A84" s="1" t="s">
        <v>18</v>
      </c>
      <c r="B84" s="1"/>
      <c r="C84" s="11">
        <f>+E84+G84+I84+K84+M84+O84+Q84+S84+U84+W84+Y84</f>
        <v>313</v>
      </c>
      <c r="D84" s="1" t="e">
        <f>+F84+H84+J84+L84+P84+R84+T84+V84+X84+Z84</f>
        <v>#DIV/0!</v>
      </c>
      <c r="E84" s="11">
        <v>0</v>
      </c>
      <c r="F84" s="1">
        <f>+F$92*E84</f>
        <v>0</v>
      </c>
      <c r="G84" s="15">
        <v>25</v>
      </c>
      <c r="H84" s="1" t="e">
        <f>+H$92*G84</f>
        <v>#DIV/0!</v>
      </c>
      <c r="I84" s="11">
        <v>11</v>
      </c>
      <c r="J84" s="1" t="e">
        <f>+J$92*I84</f>
        <v>#DIV/0!</v>
      </c>
      <c r="K84" s="11">
        <v>79</v>
      </c>
      <c r="L84" s="1" t="e">
        <f>+L$92*K84</f>
        <v>#DIV/0!</v>
      </c>
      <c r="M84" s="11">
        <v>1</v>
      </c>
      <c r="N84" s="1" t="e">
        <f>+N$92*M84</f>
        <v>#DIV/0!</v>
      </c>
      <c r="O84" s="11">
        <v>42</v>
      </c>
      <c r="P84" s="1" t="e">
        <f>+P$92*O84</f>
        <v>#DIV/0!</v>
      </c>
      <c r="Q84" s="11">
        <v>31</v>
      </c>
      <c r="R84" s="1" t="e">
        <f>+R$92*Q84</f>
        <v>#DIV/0!</v>
      </c>
      <c r="S84" s="11">
        <v>24</v>
      </c>
      <c r="T84" s="1" t="e">
        <f>+T$92*S84</f>
        <v>#DIV/0!</v>
      </c>
      <c r="U84" s="11">
        <v>45</v>
      </c>
      <c r="V84" s="1" t="e">
        <f>+V$92*U84</f>
        <v>#DIV/0!</v>
      </c>
      <c r="W84" s="11">
        <f>32+1</f>
        <v>33</v>
      </c>
      <c r="X84" s="1" t="e">
        <f>+X$92*W84</f>
        <v>#DIV/0!</v>
      </c>
      <c r="Y84" s="11">
        <v>22</v>
      </c>
      <c r="Z84" s="1" t="e">
        <f>+Z$92*Y84</f>
        <v>#DIV/0!</v>
      </c>
      <c r="AA84" t="e">
        <f>+F84+H84+J84+L84+N84+P84+R84+T84+V84+X84+Z84</f>
        <v>#DIV/0!</v>
      </c>
    </row>
    <row r="85" spans="1:27" ht="12.75">
      <c r="A85" s="1" t="s">
        <v>20</v>
      </c>
      <c r="B85" s="1"/>
      <c r="C85" s="11">
        <f>+E85+G85+I85+K85+M85+O85+Q85+S85+U85+W85+Y85</f>
        <v>5592</v>
      </c>
      <c r="D85" s="1" t="e">
        <f>+F85+H85+J85+L85+P85+R85+T85+V85+X85+Z85</f>
        <v>#DIV/0!</v>
      </c>
      <c r="E85" s="11">
        <v>0</v>
      </c>
      <c r="F85" s="1">
        <f>+F$93*E85</f>
        <v>0</v>
      </c>
      <c r="G85" s="15">
        <v>264</v>
      </c>
      <c r="H85" s="1" t="e">
        <f>+H$93*G85</f>
        <v>#DIV/0!</v>
      </c>
      <c r="I85" s="11">
        <v>251</v>
      </c>
      <c r="J85" s="1" t="e">
        <f>+J$93*I85</f>
        <v>#DIV/0!</v>
      </c>
      <c r="K85" s="11">
        <v>1750</v>
      </c>
      <c r="L85" s="1" t="e">
        <f>+L$93*K85</f>
        <v>#DIV/0!</v>
      </c>
      <c r="M85" s="11">
        <v>4</v>
      </c>
      <c r="N85" s="1" t="e">
        <f>+N$93*M85</f>
        <v>#DIV/0!</v>
      </c>
      <c r="O85" s="11">
        <v>233</v>
      </c>
      <c r="P85" s="1" t="e">
        <f>+P$93*O85</f>
        <v>#DIV/0!</v>
      </c>
      <c r="Q85" s="11">
        <v>154</v>
      </c>
      <c r="R85" s="1" t="e">
        <f>+R$93*Q85</f>
        <v>#DIV/0!</v>
      </c>
      <c r="S85" s="11">
        <v>307</v>
      </c>
      <c r="T85" s="1" t="e">
        <f>+T$93*S85</f>
        <v>#DIV/0!</v>
      </c>
      <c r="U85" s="11">
        <v>822</v>
      </c>
      <c r="V85" s="1" t="e">
        <f>+V$93*U85</f>
        <v>#DIV/0!</v>
      </c>
      <c r="W85" s="11">
        <f>239+1</f>
        <v>240</v>
      </c>
      <c r="X85" s="1" t="e">
        <f>+X$93*W85</f>
        <v>#DIV/0!</v>
      </c>
      <c r="Y85" s="11">
        <v>1567</v>
      </c>
      <c r="Z85" s="1" t="e">
        <f>+Z$93*Y85</f>
        <v>#DIV/0!</v>
      </c>
      <c r="AA85" t="e">
        <f>+F85+H85+J85+L85+N85+P85+R85+T85+V85+X85+Z85</f>
        <v>#DIV/0!</v>
      </c>
    </row>
    <row r="86" spans="1:27" ht="12.75">
      <c r="A86" s="1" t="s">
        <v>21</v>
      </c>
      <c r="B86" s="1"/>
      <c r="C86" s="11">
        <f>+E86+G86+I86+K86+M86+O86+Q86+S86+U86+W86+Y86</f>
        <v>130634089</v>
      </c>
      <c r="D86" s="1" t="e">
        <f>+F86+H86+J86+L86+P86+R86+T86+V86+X86+Z86</f>
        <v>#DIV/0!</v>
      </c>
      <c r="E86" s="11">
        <v>0</v>
      </c>
      <c r="F86" s="1">
        <f>+F$94*E86</f>
        <v>0</v>
      </c>
      <c r="G86" s="15">
        <v>11216038</v>
      </c>
      <c r="H86" s="1" t="e">
        <f>+H$94*G86</f>
        <v>#DIV/0!</v>
      </c>
      <c r="I86" s="11">
        <v>5989484</v>
      </c>
      <c r="J86" s="1" t="e">
        <f>+J$94*I86</f>
        <v>#DIV/0!</v>
      </c>
      <c r="K86" s="11">
        <v>35064520</v>
      </c>
      <c r="L86" s="1" t="e">
        <f>+L$94*K86</f>
        <v>#DIV/0!</v>
      </c>
      <c r="M86" s="11">
        <v>58968</v>
      </c>
      <c r="N86" s="1" t="e">
        <f>+N$94*M86</f>
        <v>#DIV/0!</v>
      </c>
      <c r="O86" s="11">
        <v>4359337</v>
      </c>
      <c r="P86" s="1" t="e">
        <f>+P$94*O86</f>
        <v>#DIV/0!</v>
      </c>
      <c r="Q86" s="11">
        <v>3654188</v>
      </c>
      <c r="R86" s="1" t="e">
        <f>+R$94*Q86</f>
        <v>#DIV/0!</v>
      </c>
      <c r="S86" s="11">
        <v>5638351</v>
      </c>
      <c r="T86" s="1" t="e">
        <f>+T$94*S86</f>
        <v>#DIV/0!</v>
      </c>
      <c r="U86" s="11">
        <v>9080644</v>
      </c>
      <c r="V86" s="1" t="e">
        <f>+V$94*U86</f>
        <v>#DIV/0!</v>
      </c>
      <c r="W86" s="11">
        <f>3658122+21600</f>
        <v>3679722</v>
      </c>
      <c r="X86" s="1" t="e">
        <f>+X$94*W86</f>
        <v>#DIV/0!</v>
      </c>
      <c r="Y86" s="11">
        <v>51892837</v>
      </c>
      <c r="Z86" s="1" t="e">
        <f>+Z$94*Y86</f>
        <v>#DIV/0!</v>
      </c>
      <c r="AA86" t="e">
        <f>+F86+H86+J86+L86+N86+P86+R86+T86+V86+X86+Z86</f>
        <v>#DIV/0!</v>
      </c>
    </row>
    <row r="87" spans="1:26" ht="12.75">
      <c r="A87" s="1" t="s">
        <v>23</v>
      </c>
      <c r="B87" s="1"/>
      <c r="C87" s="11">
        <f>C86/(C85*12)</f>
        <v>1946.740715903672</v>
      </c>
      <c r="D87" s="1" t="e">
        <f>D86/(D85*12)</f>
        <v>#DIV/0!</v>
      </c>
      <c r="E87" s="11"/>
      <c r="F87" s="1">
        <v>0</v>
      </c>
      <c r="G87" s="15"/>
      <c r="H87" s="1" t="e">
        <f>H86/(H85*12)</f>
        <v>#DIV/0!</v>
      </c>
      <c r="I87" s="11"/>
      <c r="J87" s="1" t="e">
        <f>J86/(J85*12)</f>
        <v>#DIV/0!</v>
      </c>
      <c r="K87" s="11"/>
      <c r="L87" s="1" t="e">
        <f>L86/(L85*12)</f>
        <v>#DIV/0!</v>
      </c>
      <c r="M87" s="11"/>
      <c r="N87" s="1" t="e">
        <f>N86/(N85*12)</f>
        <v>#DIV/0!</v>
      </c>
      <c r="O87" s="11"/>
      <c r="P87" s="1" t="e">
        <f>P86/(P85*12)</f>
        <v>#DIV/0!</v>
      </c>
      <c r="Q87" s="11"/>
      <c r="R87" s="1" t="e">
        <f>R86/(R85*12)</f>
        <v>#DIV/0!</v>
      </c>
      <c r="S87" s="11"/>
      <c r="T87" s="1" t="e">
        <f>T86/(T85*12)</f>
        <v>#DIV/0!</v>
      </c>
      <c r="U87" s="11"/>
      <c r="V87" s="1" t="e">
        <f>V86/(V85*12)</f>
        <v>#DIV/0!</v>
      </c>
      <c r="W87" s="11"/>
      <c r="X87" s="1" t="e">
        <f>X86/(X85*12)</f>
        <v>#DIV/0!</v>
      </c>
      <c r="Y87" s="11"/>
      <c r="Z87" s="1" t="e">
        <f>Z86/(Z85*12)</f>
        <v>#DIV/0!</v>
      </c>
    </row>
    <row r="89" ht="12.75">
      <c r="A89" s="1" t="s">
        <v>183</v>
      </c>
    </row>
    <row r="91" spans="5:26" ht="12.75">
      <c r="E91" s="10" t="s">
        <v>178</v>
      </c>
      <c r="F91" t="s">
        <v>179</v>
      </c>
      <c r="G91" s="10" t="s">
        <v>178</v>
      </c>
      <c r="H91" t="s">
        <v>179</v>
      </c>
      <c r="I91" s="10" t="s">
        <v>178</v>
      </c>
      <c r="J91" t="s">
        <v>179</v>
      </c>
      <c r="K91" s="10" t="s">
        <v>178</v>
      </c>
      <c r="L91" t="s">
        <v>179</v>
      </c>
      <c r="M91" s="10" t="s">
        <v>178</v>
      </c>
      <c r="N91" t="s">
        <v>179</v>
      </c>
      <c r="O91" s="10" t="s">
        <v>178</v>
      </c>
      <c r="P91" t="s">
        <v>179</v>
      </c>
      <c r="Q91" s="10" t="s">
        <v>178</v>
      </c>
      <c r="R91" t="s">
        <v>179</v>
      </c>
      <c r="S91" s="10" t="s">
        <v>178</v>
      </c>
      <c r="T91" t="s">
        <v>179</v>
      </c>
      <c r="U91" s="10" t="s">
        <v>178</v>
      </c>
      <c r="V91" t="s">
        <v>179</v>
      </c>
      <c r="W91" s="10" t="s">
        <v>178</v>
      </c>
      <c r="X91" t="s">
        <v>179</v>
      </c>
      <c r="Y91" s="10" t="s">
        <v>178</v>
      </c>
      <c r="Z91" t="s">
        <v>179</v>
      </c>
    </row>
    <row r="92" spans="4:26" ht="12.75">
      <c r="D92">
        <v>6771.961381559817</v>
      </c>
      <c r="E92" s="10">
        <v>0</v>
      </c>
      <c r="F92" s="4">
        <v>0</v>
      </c>
      <c r="G92" s="10">
        <v>252</v>
      </c>
      <c r="H92" s="4" t="e">
        <f>H10/G10</f>
        <v>#DIV/0!</v>
      </c>
      <c r="I92" s="10">
        <v>189</v>
      </c>
      <c r="J92" s="4" t="e">
        <f>J10/I10</f>
        <v>#DIV/0!</v>
      </c>
      <c r="K92" s="10">
        <v>797</v>
      </c>
      <c r="L92" s="4" t="e">
        <f>L10/K10</f>
        <v>#DIV/0!</v>
      </c>
      <c r="M92" s="10">
        <v>32</v>
      </c>
      <c r="N92" s="4" t="e">
        <f>N10/M10</f>
        <v>#DIV/0!</v>
      </c>
      <c r="O92" s="10">
        <v>397</v>
      </c>
      <c r="P92" s="4" t="e">
        <f>P10/O10</f>
        <v>#DIV/0!</v>
      </c>
      <c r="Q92" s="10">
        <v>440</v>
      </c>
      <c r="R92" s="4" t="e">
        <f>R10/Q10</f>
        <v>#DIV/0!</v>
      </c>
      <c r="S92" s="10">
        <v>398</v>
      </c>
      <c r="T92" s="4" t="e">
        <f>T10/S10</f>
        <v>#DIV/0!</v>
      </c>
      <c r="U92" s="10">
        <v>289</v>
      </c>
      <c r="V92" s="4" t="e">
        <f>V10/U10</f>
        <v>#DIV/0!</v>
      </c>
      <c r="W92" s="10">
        <v>297</v>
      </c>
      <c r="X92" s="4" t="e">
        <f>X10/W10</f>
        <v>#DIV/0!</v>
      </c>
      <c r="Y92" s="10">
        <v>217</v>
      </c>
      <c r="Z92" s="4" t="e">
        <f>Z10/Y10</f>
        <v>#DIV/0!</v>
      </c>
    </row>
    <row r="93" spans="5:26" ht="12.75">
      <c r="E93" s="10">
        <v>0</v>
      </c>
      <c r="F93" s="4">
        <v>0</v>
      </c>
      <c r="G93" s="10">
        <v>2566</v>
      </c>
      <c r="H93" s="4" t="e">
        <f>H11/G11</f>
        <v>#DIV/0!</v>
      </c>
      <c r="I93" s="10">
        <v>13021</v>
      </c>
      <c r="J93" s="4" t="e">
        <f aca="true" t="shared" si="9" ref="J93:L94">J11/I11</f>
        <v>#DIV/0!</v>
      </c>
      <c r="K93" s="10">
        <v>14232</v>
      </c>
      <c r="L93" s="4" t="e">
        <f t="shared" si="9"/>
        <v>#DIV/0!</v>
      </c>
      <c r="M93" s="10">
        <v>1896</v>
      </c>
      <c r="N93" s="4" t="e">
        <f>N11/M11</f>
        <v>#DIV/0!</v>
      </c>
      <c r="O93" s="10">
        <v>3190</v>
      </c>
      <c r="P93" s="4" t="e">
        <f>P11/O11</f>
        <v>#DIV/0!</v>
      </c>
      <c r="Q93" s="10">
        <v>7075</v>
      </c>
      <c r="R93" s="4" t="e">
        <f>R11/Q11</f>
        <v>#DIV/0!</v>
      </c>
      <c r="S93" s="10">
        <v>8294</v>
      </c>
      <c r="T93" s="4" t="e">
        <f>T11/S11</f>
        <v>#DIV/0!</v>
      </c>
      <c r="U93" s="10">
        <v>5818</v>
      </c>
      <c r="V93" s="4" t="e">
        <f>V11/U11</f>
        <v>#DIV/0!</v>
      </c>
      <c r="W93" s="10">
        <v>2132</v>
      </c>
      <c r="X93" s="4" t="e">
        <f>X11/W11</f>
        <v>#DIV/0!</v>
      </c>
      <c r="Y93" s="10">
        <v>18621</v>
      </c>
      <c r="Z93" s="4" t="e">
        <f>Z11/Y11</f>
        <v>#DIV/0!</v>
      </c>
    </row>
    <row r="94" spans="5:26" ht="12.75">
      <c r="E94" s="10">
        <v>0</v>
      </c>
      <c r="F94" s="4">
        <v>0</v>
      </c>
      <c r="G94" s="10">
        <v>83130219</v>
      </c>
      <c r="H94" s="4" t="e">
        <f>H12/G12</f>
        <v>#DIV/0!</v>
      </c>
      <c r="I94" s="10">
        <v>526523369</v>
      </c>
      <c r="J94" s="4" t="e">
        <f t="shared" si="9"/>
        <v>#DIV/0!</v>
      </c>
      <c r="K94" s="10">
        <v>313453064</v>
      </c>
      <c r="L94" s="4" t="e">
        <f t="shared" si="9"/>
        <v>#DIV/0!</v>
      </c>
      <c r="M94" s="10">
        <v>62352882</v>
      </c>
      <c r="N94" s="4" t="e">
        <f>N12/M12</f>
        <v>#DIV/0!</v>
      </c>
      <c r="O94" s="10">
        <v>96496040</v>
      </c>
      <c r="P94" s="4" t="e">
        <f>P12/O12</f>
        <v>#DIV/0!</v>
      </c>
      <c r="Q94" s="10">
        <v>168083632</v>
      </c>
      <c r="R94" s="4" t="e">
        <f>R12/Q12</f>
        <v>#DIV/0!</v>
      </c>
      <c r="S94" s="10">
        <v>240722112</v>
      </c>
      <c r="T94" s="4" t="e">
        <f>T12/S12</f>
        <v>#DIV/0!</v>
      </c>
      <c r="U94" s="10">
        <v>55423604</v>
      </c>
      <c r="V94" s="4" t="e">
        <f>V12/U12</f>
        <v>#DIV/0!</v>
      </c>
      <c r="W94" s="10">
        <v>43706634</v>
      </c>
      <c r="X94" s="4" t="e">
        <f>X12/W12</f>
        <v>#DIV/0!</v>
      </c>
      <c r="Y94" s="10">
        <v>550657373</v>
      </c>
      <c r="Z94" s="4" t="e">
        <f>Z12/Y12</f>
        <v>#DIV/0!</v>
      </c>
    </row>
    <row r="96" spans="7:25" ht="12.75">
      <c r="G96" s="10" t="s">
        <v>143</v>
      </c>
      <c r="I96" s="10" t="s">
        <v>143</v>
      </c>
      <c r="K96" s="10" t="s">
        <v>143</v>
      </c>
      <c r="M96" s="10" t="s">
        <v>143</v>
      </c>
      <c r="O96" s="10" t="s">
        <v>143</v>
      </c>
      <c r="Q96" s="10" t="s">
        <v>143</v>
      </c>
      <c r="S96" s="10" t="s">
        <v>143</v>
      </c>
      <c r="U96" s="10" t="s">
        <v>143</v>
      </c>
      <c r="W96" s="10" t="s">
        <v>143</v>
      </c>
      <c r="Y96" s="10" t="s">
        <v>143</v>
      </c>
    </row>
    <row r="97" spans="7:25" ht="12.75">
      <c r="G97" s="10" t="e">
        <f>+H16+H22+H28+H34+H66+H78</f>
        <v>#DIV/0!</v>
      </c>
      <c r="I97" s="10" t="e">
        <f>+J16+J22+J28+J34+J66+J78</f>
        <v>#DIV/0!</v>
      </c>
      <c r="K97" s="10" t="e">
        <f>+L16+L22+L28+L34+L66+L78</f>
        <v>#DIV/0!</v>
      </c>
      <c r="M97" s="10" t="e">
        <f>+N16+N22+N28+N34+N66+N78</f>
        <v>#DIV/0!</v>
      </c>
      <c r="O97" s="10" t="e">
        <f>+P16+P22+P28+P34+P66+P78</f>
        <v>#DIV/0!</v>
      </c>
      <c r="Q97" s="10" t="e">
        <f>+R16+R22+R28+R34+R66+R78</f>
        <v>#DIV/0!</v>
      </c>
      <c r="S97" s="10" t="e">
        <f>+T16+T22+T28+T34+T66+T78</f>
        <v>#DIV/0!</v>
      </c>
      <c r="U97" s="10" t="e">
        <f>+V16+V22+V28+V34+V66+V78</f>
        <v>#DIV/0!</v>
      </c>
      <c r="W97" s="10" t="e">
        <f>+X16+X22+X28+X34+X66+X78</f>
        <v>#DIV/0!</v>
      </c>
      <c r="Y97" s="10" t="e">
        <f>+Z16+Z22+Z28+Z34+Z66+Z78</f>
        <v>#DIV/0!</v>
      </c>
    </row>
    <row r="98" spans="7:25" ht="12.75">
      <c r="G98" s="10" t="e">
        <f>+H17+H23+H29+H35+H67+H79</f>
        <v>#DIV/0!</v>
      </c>
      <c r="I98" s="10" t="e">
        <f>+J17+J23+J29+J35+J67+J79</f>
        <v>#DIV/0!</v>
      </c>
      <c r="K98" s="10" t="e">
        <f>+L17+L23+L29+L35+L67+L79</f>
        <v>#DIV/0!</v>
      </c>
      <c r="M98" s="10" t="e">
        <f>+N17+N23+N29+N35+N67+N79</f>
        <v>#DIV/0!</v>
      </c>
      <c r="O98" s="10" t="e">
        <f>+P17+P23+P29+P35+P67+P79</f>
        <v>#DIV/0!</v>
      </c>
      <c r="Q98" s="10" t="e">
        <f>+R17+R23+R29+R35+R67+R79</f>
        <v>#DIV/0!</v>
      </c>
      <c r="S98" s="10" t="e">
        <f>+T17+T23+T29+T35+T67+T79</f>
        <v>#DIV/0!</v>
      </c>
      <c r="U98" s="10" t="e">
        <f>+V17+V23+V29+V35+V67+V79</f>
        <v>#DIV/0!</v>
      </c>
      <c r="W98" s="10" t="e">
        <f>+X17+X23+X29+X35+X67+X79</f>
        <v>#DIV/0!</v>
      </c>
      <c r="Y98" s="10" t="e">
        <f>+Z17+Z23+Z29+Z35+Z67+Z79</f>
        <v>#DIV/0!</v>
      </c>
    </row>
    <row r="99" spans="7:25" ht="12.75">
      <c r="G99" s="10" t="e">
        <f>+H18+H24+H30+H36+H68+H80</f>
        <v>#DIV/0!</v>
      </c>
      <c r="I99" s="10" t="e">
        <f>+J18+J24+J30+J36+J68+J80</f>
        <v>#DIV/0!</v>
      </c>
      <c r="K99" s="10" t="e">
        <f>+L18+L24+L30+L36+L68+L80</f>
        <v>#DIV/0!</v>
      </c>
      <c r="M99" s="10" t="e">
        <f>+N18+N24+N30+N36+N68+N80</f>
        <v>#DIV/0!</v>
      </c>
      <c r="O99" s="10" t="e">
        <f>+P18+P24+P30+P36+P68+P80</f>
        <v>#DIV/0!</v>
      </c>
      <c r="Q99" s="10" t="e">
        <f>+R18+R24+R30+R36+R68+R80</f>
        <v>#DIV/0!</v>
      </c>
      <c r="S99" s="10" t="e">
        <f>+T18+T24+T30+T36+T68+T80</f>
        <v>#DIV/0!</v>
      </c>
      <c r="U99" s="10" t="e">
        <f>+V18+V24+V30+V36+V68+V80</f>
        <v>#DIV/0!</v>
      </c>
      <c r="W99" s="10" t="e">
        <f>+X18+X24+X30+X36+X68+X80</f>
        <v>#DIV/0!</v>
      </c>
      <c r="Y99" s="10" t="e">
        <f>+Z18+Z24+Z30+Z36+Z68+Z80</f>
        <v>#DIV/0!</v>
      </c>
    </row>
    <row r="101" spans="2:26" ht="12.75">
      <c r="B101" s="1"/>
      <c r="C101" s="11"/>
      <c r="D101" s="1"/>
      <c r="E101" s="11"/>
      <c r="F101" s="1"/>
      <c r="G101" s="11"/>
      <c r="H101" s="1"/>
      <c r="I101" s="11"/>
      <c r="J101" s="1"/>
      <c r="K101" s="11"/>
      <c r="L101" s="1"/>
      <c r="M101" s="11"/>
      <c r="N101" s="1"/>
      <c r="O101" s="11"/>
      <c r="P101" s="1"/>
      <c r="Q101" s="11"/>
      <c r="R101" s="1"/>
      <c r="S101" s="11"/>
      <c r="T101" s="1"/>
      <c r="U101" s="11"/>
      <c r="V101" s="1"/>
      <c r="W101" s="11"/>
      <c r="X101" s="1"/>
      <c r="Y101" s="11"/>
      <c r="Z101" s="1"/>
    </row>
    <row r="102" spans="2:26" ht="12.75">
      <c r="B102" s="1"/>
      <c r="C102" s="11"/>
      <c r="D102" s="1"/>
      <c r="E102" s="11"/>
      <c r="F102" s="1"/>
      <c r="G102" s="11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2"/>
  <sheetViews>
    <sheetView zoomScale="75" zoomScaleNormal="75" workbookViewId="0" topLeftCell="A24">
      <selection activeCell="N49" sqref="N49"/>
    </sheetView>
  </sheetViews>
  <sheetFormatPr defaultColWidth="9.140625" defaultRowHeight="12.75"/>
  <cols>
    <col min="3" max="3" width="12.140625" style="10" hidden="1" customWidth="1"/>
    <col min="4" max="4" width="12.57421875" style="0" customWidth="1"/>
    <col min="5" max="5" width="0" style="10" hidden="1" customWidth="1"/>
    <col min="7" max="7" width="11.00390625" style="10" hidden="1" customWidth="1"/>
    <col min="8" max="8" width="10.28125" style="0" customWidth="1"/>
    <col min="9" max="9" width="11.140625" style="10" hidden="1" customWidth="1"/>
    <col min="10" max="10" width="11.57421875" style="0" customWidth="1"/>
    <col min="11" max="11" width="11.421875" style="10" hidden="1" customWidth="1"/>
    <col min="12" max="12" width="10.421875" style="0" customWidth="1"/>
    <col min="13" max="13" width="10.421875" style="10" hidden="1" customWidth="1"/>
    <col min="14" max="14" width="9.7109375" style="0" customWidth="1"/>
    <col min="15" max="15" width="10.8515625" style="10" hidden="1" customWidth="1"/>
    <col min="16" max="16" width="9.7109375" style="0" bestFit="1" customWidth="1"/>
    <col min="17" max="17" width="10.8515625" style="10" hidden="1" customWidth="1"/>
    <col min="18" max="18" width="11.140625" style="0" customWidth="1"/>
    <col min="19" max="19" width="11.00390625" style="10" hidden="1" customWidth="1"/>
    <col min="20" max="20" width="11.57421875" style="0" customWidth="1"/>
    <col min="21" max="21" width="11.57421875" style="10" hidden="1" customWidth="1"/>
    <col min="22" max="22" width="9.7109375" style="0" bestFit="1" customWidth="1"/>
    <col min="23" max="23" width="10.140625" style="10" hidden="1" customWidth="1"/>
    <col min="24" max="24" width="9.7109375" style="0" bestFit="1" customWidth="1"/>
    <col min="25" max="25" width="13.140625" style="10" hidden="1" customWidth="1"/>
    <col min="26" max="26" width="11.00390625" style="0" bestFit="1" customWidth="1"/>
    <col min="27" max="27" width="13.140625" style="0" customWidth="1"/>
  </cols>
  <sheetData>
    <row r="1" spans="12:26" ht="12.75">
      <c r="L1" t="s">
        <v>190</v>
      </c>
      <c r="Z1" s="1"/>
    </row>
    <row r="2" spans="16:26" ht="12.75">
      <c r="P2" t="s">
        <v>191</v>
      </c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 t="s">
        <v>124</v>
      </c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 t="s">
        <v>187</v>
      </c>
      <c r="M6" s="11"/>
      <c r="N6" s="1"/>
      <c r="O6" s="11"/>
      <c r="P6" s="2" t="s">
        <v>128</v>
      </c>
      <c r="Q6" s="12"/>
      <c r="R6" s="1" t="s">
        <v>129</v>
      </c>
      <c r="S6" s="11"/>
      <c r="T6" s="2" t="s">
        <v>131</v>
      </c>
      <c r="U6" s="12"/>
      <c r="V6" s="2" t="s">
        <v>133</v>
      </c>
      <c r="W6" s="12"/>
      <c r="X6" s="2" t="s">
        <v>140</v>
      </c>
      <c r="Y6" s="12"/>
      <c r="Z6" s="1"/>
    </row>
    <row r="7" spans="1:26" ht="12.75">
      <c r="A7" s="1" t="s">
        <v>185</v>
      </c>
      <c r="B7" s="1"/>
      <c r="C7" s="11"/>
      <c r="D7" s="2" t="s">
        <v>184</v>
      </c>
      <c r="E7" s="12" t="s">
        <v>144</v>
      </c>
      <c r="F7" s="2" t="s">
        <v>7</v>
      </c>
      <c r="G7" s="11" t="s">
        <v>145</v>
      </c>
      <c r="H7" s="1" t="s">
        <v>8</v>
      </c>
      <c r="I7" s="11" t="s">
        <v>146</v>
      </c>
      <c r="J7" s="2" t="s">
        <v>9</v>
      </c>
      <c r="K7" s="11" t="s">
        <v>147</v>
      </c>
      <c r="L7" s="1" t="s">
        <v>125</v>
      </c>
      <c r="M7" s="11" t="s">
        <v>148</v>
      </c>
      <c r="N7" s="2" t="s">
        <v>126</v>
      </c>
      <c r="O7" s="12" t="s">
        <v>149</v>
      </c>
      <c r="P7" s="2" t="s">
        <v>127</v>
      </c>
      <c r="Q7" s="12" t="s">
        <v>150</v>
      </c>
      <c r="R7" s="1" t="s">
        <v>130</v>
      </c>
      <c r="S7" s="11" t="s">
        <v>151</v>
      </c>
      <c r="T7" s="2" t="s">
        <v>132</v>
      </c>
      <c r="U7" s="12" t="s">
        <v>152</v>
      </c>
      <c r="V7" s="2" t="s">
        <v>134</v>
      </c>
      <c r="W7" s="12" t="s">
        <v>153</v>
      </c>
      <c r="X7" s="2" t="s">
        <v>141</v>
      </c>
      <c r="Y7" s="12" t="s">
        <v>154</v>
      </c>
      <c r="Z7" s="2" t="s">
        <v>94</v>
      </c>
    </row>
    <row r="8" spans="1:4" ht="12.75">
      <c r="A8" s="1"/>
      <c r="B8" s="1"/>
      <c r="C8" s="11"/>
      <c r="D8" s="2"/>
    </row>
    <row r="9" spans="1:26" ht="12.75">
      <c r="A9" s="1" t="s">
        <v>13</v>
      </c>
      <c r="B9" s="1"/>
      <c r="C9" s="11" t="s">
        <v>155</v>
      </c>
      <c r="D9" s="1"/>
      <c r="E9" s="11" t="s">
        <v>182</v>
      </c>
      <c r="F9" s="1"/>
      <c r="G9" s="11" t="s">
        <v>182</v>
      </c>
      <c r="H9" s="1"/>
      <c r="I9" s="11" t="s">
        <v>182</v>
      </c>
      <c r="J9" s="1"/>
      <c r="K9" s="11" t="s">
        <v>182</v>
      </c>
      <c r="L9" s="1"/>
      <c r="M9" s="11" t="s">
        <v>182</v>
      </c>
      <c r="N9" s="1"/>
      <c r="O9" s="11" t="s">
        <v>182</v>
      </c>
      <c r="P9" s="1"/>
      <c r="Q9" s="11" t="s">
        <v>182</v>
      </c>
      <c r="R9" s="1"/>
      <c r="S9" s="11" t="s">
        <v>182</v>
      </c>
      <c r="T9" s="1"/>
      <c r="U9" s="11" t="s">
        <v>182</v>
      </c>
      <c r="V9" s="1"/>
      <c r="W9" s="11" t="s">
        <v>182</v>
      </c>
      <c r="X9" s="1"/>
      <c r="Y9" s="11" t="s">
        <v>182</v>
      </c>
      <c r="Z9" s="1"/>
    </row>
    <row r="10" spans="1:27" ht="12.75">
      <c r="A10" s="1" t="s">
        <v>18</v>
      </c>
      <c r="B10" s="1"/>
      <c r="C10" s="11">
        <f>+C16+C22+C28+C34+C40+C46+C52+C68+C74+C80+C86</f>
        <v>4957</v>
      </c>
      <c r="D10" s="1">
        <f>+F10+H10+J10+L10+N10+P10+R10+T10+V10+X10+Z10</f>
        <v>5355</v>
      </c>
      <c r="E10" s="1">
        <f>+E16+E22+E28+E34+E40+E52+E68+E74+E80+E86</f>
        <v>5</v>
      </c>
      <c r="F10" s="1">
        <v>5</v>
      </c>
      <c r="G10" s="1">
        <f>+G16+G22+G28+G34+G40+G52+G68+G74+G80+G86</f>
        <v>603</v>
      </c>
      <c r="H10" s="1">
        <v>898</v>
      </c>
      <c r="I10" s="1">
        <f>+I16+I22+I28+I34+I40+I52+I68+I74+I80+I86</f>
        <v>282</v>
      </c>
      <c r="J10" s="1">
        <v>296</v>
      </c>
      <c r="K10" s="1">
        <f>+K16+K22+K28+K34+K40+K52+K68+K74+K80+K86</f>
        <v>1032</v>
      </c>
      <c r="L10" s="1">
        <v>1144</v>
      </c>
      <c r="M10" s="1">
        <f>+M16+M22+M28+M34+M40+M52+M68+M74+M80+M86</f>
        <v>79</v>
      </c>
      <c r="N10" s="1">
        <v>88</v>
      </c>
      <c r="O10" s="1">
        <f>+O16+O22+O28+O34+O40+O52+O68+O74+O80+O86</f>
        <v>544</v>
      </c>
      <c r="P10" s="1">
        <v>587</v>
      </c>
      <c r="Q10" s="1">
        <f>+Q16+Q22+Q28+Q34+Q40+Q52+Q68+Q74+Q80+Q86</f>
        <v>775</v>
      </c>
      <c r="R10" s="1">
        <v>883</v>
      </c>
      <c r="S10" s="1">
        <f>+S16+S22+S28+S34+S40+S52+S68+S74+S80+S86</f>
        <v>456</v>
      </c>
      <c r="T10" s="1">
        <v>479</v>
      </c>
      <c r="U10" s="1">
        <f>+U16+U22+U28+U34+U40+U52+U68+U74+U80+U86</f>
        <v>337</v>
      </c>
      <c r="V10" s="1">
        <v>350</v>
      </c>
      <c r="W10" s="1">
        <f>+W16+W22+W28+W34+W40+W52+W68+W74+W80+W86</f>
        <v>347</v>
      </c>
      <c r="X10" s="1">
        <v>355</v>
      </c>
      <c r="Y10" s="1">
        <f>+Y16+Y22+Y28+Y34+Y40+Y52+Y68+Y74+Y80+Y86</f>
        <v>261</v>
      </c>
      <c r="Z10" s="1">
        <v>270</v>
      </c>
      <c r="AA10" s="1">
        <f>+AA16+AA22+AA28+AA34+AA40+AA46+AA52+AA68+AA74+AA80+AA86</f>
        <v>5622.412653103373</v>
      </c>
    </row>
    <row r="11" spans="1:27" ht="12.75">
      <c r="A11" s="1" t="s">
        <v>20</v>
      </c>
      <c r="B11" s="1"/>
      <c r="C11" s="11">
        <f>+C17+C23+C29+C35+C41+C47+C53+C69+C75+C81+C87</f>
        <v>86240</v>
      </c>
      <c r="D11" s="1">
        <f>+F11+H11+J11+L11+N11+P11+R11+T11+V11+X11+Z11</f>
        <v>88894</v>
      </c>
      <c r="E11" s="1">
        <f>+E17+E23+E29+E35+E41+E53+E69+E75+E81+E87</f>
        <v>59</v>
      </c>
      <c r="F11" s="1">
        <v>59</v>
      </c>
      <c r="G11" s="1">
        <f>+G17+G23+G29+G35+G41+G53+G69+G75+G81+G87</f>
        <v>5240</v>
      </c>
      <c r="H11" s="1">
        <v>6718</v>
      </c>
      <c r="I11" s="1">
        <f>+I17+I23+I29+I35+I41+I53+I69+I75+I81+I87</f>
        <v>9934</v>
      </c>
      <c r="J11" s="1">
        <v>10073</v>
      </c>
      <c r="K11" s="1">
        <f>+K17+K23+K29+K35+K41+K53+K69+K75+K81+K87</f>
        <v>18103</v>
      </c>
      <c r="L11" s="1">
        <v>18638</v>
      </c>
      <c r="M11" s="1">
        <f>+M17+M23+M29+M35+M41+M53+M69+M75+M81+M87</f>
        <v>836</v>
      </c>
      <c r="N11" s="1">
        <v>915</v>
      </c>
      <c r="O11" s="1">
        <f>+O17+O23+O29+O35+O41+O53+O69+O75+O81+O87</f>
        <v>3073</v>
      </c>
      <c r="P11" s="1">
        <v>3197</v>
      </c>
      <c r="Q11" s="1">
        <f>+Q17+Q23+Q29+Q35+Q41+Q53+Q69+Q75+Q81+Q87</f>
        <v>6877</v>
      </c>
      <c r="R11" s="1">
        <v>7648</v>
      </c>
      <c r="S11" s="1">
        <f>+S17+S23+S29+S35+S41+S53+S69+S75+S81+S87</f>
        <v>6755</v>
      </c>
      <c r="T11" s="1">
        <v>7630</v>
      </c>
      <c r="U11" s="1">
        <f>+U17+U23+U29+U35+U41+U53+U69+U75+U81+U87</f>
        <v>7662</v>
      </c>
      <c r="V11" s="1">
        <v>7881</v>
      </c>
      <c r="W11" s="1">
        <f>+W17+W23+W29+W35+W41+W53+W69+W75+W81+W87</f>
        <v>2219</v>
      </c>
      <c r="X11" s="1">
        <v>2647</v>
      </c>
      <c r="Y11" s="1">
        <f>+Y17+Y23+Y29+Y35+Y41+Y53+Y69+Y75+Y81+Y87</f>
        <v>23320</v>
      </c>
      <c r="Z11" s="1">
        <v>23488</v>
      </c>
      <c r="AA11" s="1">
        <f>+AA17+AA23+AA29+AA35+AA41+AA47+AA53+AA69+AA75+AA81+AA87</f>
        <v>91195.240168368</v>
      </c>
    </row>
    <row r="12" spans="1:27" ht="12.75">
      <c r="A12" s="1" t="s">
        <v>21</v>
      </c>
      <c r="B12" s="1"/>
      <c r="C12" s="11">
        <f>+C18+C24+C30+C36+C42+C48+C54+C70+C76+C82+C88</f>
        <v>2587778676</v>
      </c>
      <c r="D12" s="1">
        <f>+F12+H12+J12+L12+N12+P12+R12+T12+V12+X12+Z12</f>
        <v>2663882779</v>
      </c>
      <c r="E12" s="1">
        <f>+E18+E24+E30+E36+E42+E54+E70+E76+E82+E88</f>
        <v>2412032</v>
      </c>
      <c r="F12" s="1">
        <v>2419532</v>
      </c>
      <c r="G12" s="1">
        <f>+G18+G24+G30+G36+G42+G54+G70+G76+G82+G88</f>
        <v>174822485</v>
      </c>
      <c r="H12" s="1">
        <v>213279144</v>
      </c>
      <c r="I12" s="1">
        <f>+I18+I24+I30+I36+I42+I54+I70+I76+I82+I88</f>
        <v>346270058</v>
      </c>
      <c r="J12" s="1">
        <v>351481975</v>
      </c>
      <c r="K12" s="1">
        <f>+K18+K24+K30+K36+K42+K54+K70+K76+K82+K88</f>
        <v>456666807</v>
      </c>
      <c r="L12" s="1">
        <v>473847756</v>
      </c>
      <c r="M12" s="1">
        <f>+M18+M24+M30+M36+M42+M54+M70+M76+M82+M88</f>
        <v>20961194</v>
      </c>
      <c r="N12" s="1">
        <v>22823961</v>
      </c>
      <c r="O12" s="1">
        <f>+O18+O24+O30+O36+O42+O54+O70+O76+O82+O88</f>
        <v>81245176</v>
      </c>
      <c r="P12" s="1">
        <v>85753132</v>
      </c>
      <c r="Q12" s="1">
        <f>+Q18+Q24+Q30+Q36+Q42+Q54+Q70+Q76+Q82+Q88</f>
        <v>235229256</v>
      </c>
      <c r="R12" s="1">
        <v>268806267</v>
      </c>
      <c r="S12" s="1">
        <f>+S18+S24+S30+S36+S42+S54+S70+S76+S82+S88</f>
        <v>186768823</v>
      </c>
      <c r="T12" s="1">
        <v>191019230</v>
      </c>
      <c r="U12" s="1">
        <f>+U18+U24+U30+U36+U42+U54+U70+U76+U82+U88</f>
        <v>77144853</v>
      </c>
      <c r="V12" s="1">
        <v>79342163</v>
      </c>
      <c r="W12" s="1">
        <f>+W18+W24+W30+W36+W42+W54+W70+W76+W82+W88</f>
        <v>48514832</v>
      </c>
      <c r="X12" s="1">
        <v>60075195</v>
      </c>
      <c r="Y12" s="1">
        <f>+Y18+Y24+Y30+Y36+Y42+Y54+Y70+Y76+Y82+Y88</f>
        <v>909035485</v>
      </c>
      <c r="Z12" s="1">
        <v>915034424</v>
      </c>
      <c r="AA12" s="1">
        <f>+AA18+AA24+AA30+AA36+AA42+AA48+AA54+AA70+AA76+AA82+AA88</f>
        <v>2715413792.659522</v>
      </c>
    </row>
    <row r="13" spans="1:27" ht="12.75">
      <c r="A13" s="1" t="s">
        <v>23</v>
      </c>
      <c r="B13" s="1"/>
      <c r="C13" s="11"/>
      <c r="D13" s="1">
        <f>D12/(D11*12)</f>
        <v>2497.246513637966</v>
      </c>
      <c r="E13" s="11"/>
      <c r="F13" s="1">
        <f aca="true" t="shared" si="0" ref="F13:AA13">F12/(F11*12)</f>
        <v>3417.4180790960454</v>
      </c>
      <c r="G13" s="11"/>
      <c r="H13" s="1">
        <f t="shared" si="0"/>
        <v>2645.618041083656</v>
      </c>
      <c r="I13" s="11"/>
      <c r="J13" s="1">
        <f t="shared" si="0"/>
        <v>2907.78959429498</v>
      </c>
      <c r="K13" s="11"/>
      <c r="L13" s="1">
        <f t="shared" si="0"/>
        <v>2118.645401867153</v>
      </c>
      <c r="M13" s="11"/>
      <c r="N13" s="1">
        <f t="shared" si="0"/>
        <v>2078.684972677596</v>
      </c>
      <c r="O13" s="11"/>
      <c r="P13" s="1">
        <f t="shared" si="0"/>
        <v>2235.2500260661036</v>
      </c>
      <c r="Q13" s="11"/>
      <c r="R13" s="1">
        <f t="shared" si="0"/>
        <v>2928.9385787133892</v>
      </c>
      <c r="S13" s="11"/>
      <c r="T13" s="1">
        <f t="shared" si="0"/>
        <v>2086.2738095238096</v>
      </c>
      <c r="U13" s="11"/>
      <c r="V13" s="1">
        <f t="shared" si="0"/>
        <v>838.9604005413864</v>
      </c>
      <c r="W13" s="11"/>
      <c r="X13" s="1">
        <f t="shared" si="0"/>
        <v>1891.2981677370608</v>
      </c>
      <c r="Y13" s="11"/>
      <c r="Z13" s="1">
        <f t="shared" si="0"/>
        <v>3246.460689146231</v>
      </c>
      <c r="AA13" s="1">
        <f t="shared" si="0"/>
        <v>2481.3190063851152</v>
      </c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 t="s">
        <v>26</v>
      </c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7" ht="12.75">
      <c r="A16" s="1" t="s">
        <v>18</v>
      </c>
      <c r="B16" s="1"/>
      <c r="C16" s="11">
        <f aca="true" t="shared" si="1" ref="C16:D18">+E16+G16+I16+K16+M16+O16+Q16+S16+U16+W16+Y16</f>
        <v>262</v>
      </c>
      <c r="D16" s="1">
        <f t="shared" si="1"/>
        <v>311.65651768933725</v>
      </c>
      <c r="E16" s="11">
        <v>0</v>
      </c>
      <c r="F16" s="1">
        <f>+F$95*E16</f>
        <v>0</v>
      </c>
      <c r="G16" s="11">
        <v>71</v>
      </c>
      <c r="H16" s="1">
        <f>+H$95*G16</f>
        <v>105.7346600331675</v>
      </c>
      <c r="I16" s="11">
        <v>12</v>
      </c>
      <c r="J16" s="1">
        <f>+J$95*I16</f>
        <v>12.595744680851062</v>
      </c>
      <c r="K16" s="11">
        <v>52</v>
      </c>
      <c r="L16" s="1">
        <f>+L$95*K16</f>
        <v>57.643410852713174</v>
      </c>
      <c r="M16" s="11">
        <v>6</v>
      </c>
      <c r="N16" s="1">
        <f>+N$95*M16</f>
        <v>6.6835443037974684</v>
      </c>
      <c r="O16" s="11">
        <v>22</v>
      </c>
      <c r="P16" s="1">
        <f>+P$95*O16</f>
        <v>23.738970588235297</v>
      </c>
      <c r="Q16" s="11">
        <v>25</v>
      </c>
      <c r="R16" s="1">
        <f>+R$95*Q16</f>
        <v>28.483870967741936</v>
      </c>
      <c r="S16" s="11">
        <v>18</v>
      </c>
      <c r="T16" s="1">
        <f>+T$95*S16</f>
        <v>18.907894736842106</v>
      </c>
      <c r="U16" s="11">
        <v>21</v>
      </c>
      <c r="V16" s="1">
        <f>+V$95*U16</f>
        <v>21.810089020771514</v>
      </c>
      <c r="W16" s="11">
        <v>13</v>
      </c>
      <c r="X16" s="1">
        <f>+X$95*W16</f>
        <v>13.29971181556196</v>
      </c>
      <c r="Y16" s="11">
        <v>22</v>
      </c>
      <c r="Z16" s="1">
        <f>+Z$95*Y16</f>
        <v>22.758620689655174</v>
      </c>
      <c r="AA16">
        <f>+F16+H16+J16+L16+N16+P16+R16+T16+V16+X16+Z16</f>
        <v>311.65651768933725</v>
      </c>
    </row>
    <row r="17" spans="1:27" ht="12.75">
      <c r="A17" s="1" t="s">
        <v>20</v>
      </c>
      <c r="B17" s="1"/>
      <c r="C17" s="11">
        <f t="shared" si="1"/>
        <v>2925</v>
      </c>
      <c r="D17" s="1">
        <f t="shared" si="1"/>
        <v>3163.725561353839</v>
      </c>
      <c r="E17" s="11">
        <v>0</v>
      </c>
      <c r="F17" s="1">
        <f>+F$96*E17</f>
        <v>0</v>
      </c>
      <c r="G17" s="11">
        <v>422</v>
      </c>
      <c r="H17" s="1">
        <f>+H$96*G17</f>
        <v>541.0297709923664</v>
      </c>
      <c r="I17" s="11">
        <v>174</v>
      </c>
      <c r="J17" s="1">
        <f>+J$96*I17</f>
        <v>176.43466881417353</v>
      </c>
      <c r="K17" s="11">
        <v>679</v>
      </c>
      <c r="L17" s="1">
        <f>+L$96*K17</f>
        <v>699.0665635530022</v>
      </c>
      <c r="M17" s="11">
        <v>5</v>
      </c>
      <c r="N17" s="1">
        <f>+N$96*M17</f>
        <v>5.472488038277512</v>
      </c>
      <c r="O17" s="11">
        <v>123</v>
      </c>
      <c r="P17" s="1">
        <f>+P$96*O17</f>
        <v>127.9632281158477</v>
      </c>
      <c r="Q17" s="11">
        <v>215</v>
      </c>
      <c r="R17" s="1">
        <f>+R$96*Q17</f>
        <v>239.10426057874074</v>
      </c>
      <c r="S17" s="11">
        <v>314</v>
      </c>
      <c r="T17" s="1">
        <f>+T$96*S17</f>
        <v>354.6735751295337</v>
      </c>
      <c r="U17" s="11">
        <v>250</v>
      </c>
      <c r="V17" s="1">
        <f>+V$96*U17</f>
        <v>257.14565387627255</v>
      </c>
      <c r="W17" s="11">
        <v>78</v>
      </c>
      <c r="X17" s="1">
        <f>+X$96*W17</f>
        <v>93.0446146913024</v>
      </c>
      <c r="Y17" s="11">
        <v>665</v>
      </c>
      <c r="Z17" s="1">
        <f>+Z$96*Y17</f>
        <v>669.7907375643225</v>
      </c>
      <c r="AA17">
        <f>+F17+H17+J17+L17+N17+P17+R17+T17+V17+X17+Z17</f>
        <v>3163.725561353839</v>
      </c>
    </row>
    <row r="18" spans="1:27" ht="12.75">
      <c r="A18" s="1" t="s">
        <v>21</v>
      </c>
      <c r="B18" s="1"/>
      <c r="C18" s="11">
        <f t="shared" si="1"/>
        <v>68160330</v>
      </c>
      <c r="D18" s="1">
        <f t="shared" si="1"/>
        <v>73234193.16614372</v>
      </c>
      <c r="E18" s="11">
        <v>0</v>
      </c>
      <c r="F18" s="1">
        <f>+F$97*E18</f>
        <v>0</v>
      </c>
      <c r="G18" s="11">
        <v>11131005</v>
      </c>
      <c r="H18" s="1">
        <f>+H$97*G18</f>
        <v>13579553.100733696</v>
      </c>
      <c r="I18" s="11">
        <v>5406039</v>
      </c>
      <c r="J18" s="1">
        <f>+J$97*I18</f>
        <v>5487408.514677365</v>
      </c>
      <c r="K18" s="11">
        <v>13903225</v>
      </c>
      <c r="L18" s="1">
        <f>+L$97*K18</f>
        <v>14426299.145085664</v>
      </c>
      <c r="M18" s="11">
        <v>262770</v>
      </c>
      <c r="N18" s="1">
        <f>+N$97*M18</f>
        <v>286121.68905883894</v>
      </c>
      <c r="O18" s="11">
        <v>2668025</v>
      </c>
      <c r="P18" s="1">
        <f>+P$97*O18</f>
        <v>2816062.5808023354</v>
      </c>
      <c r="Q18" s="11">
        <v>5022800</v>
      </c>
      <c r="R18" s="1">
        <f>+R$97*Q18</f>
        <v>5739762.735497492</v>
      </c>
      <c r="S18" s="11">
        <v>6619587</v>
      </c>
      <c r="T18" s="1">
        <f>+T$97*S18</f>
        <v>6770232.800888883</v>
      </c>
      <c r="U18" s="11">
        <v>1787826</v>
      </c>
      <c r="V18" s="1">
        <f>+V$97*U18</f>
        <v>1838748.4892561529</v>
      </c>
      <c r="W18" s="11">
        <v>3409779</v>
      </c>
      <c r="X18" s="1">
        <f>+X$97*W18</f>
        <v>4222278.628768724</v>
      </c>
      <c r="Y18" s="11">
        <v>17949274</v>
      </c>
      <c r="Z18" s="1">
        <f>+Z$97*Y18</f>
        <v>18067725.481374554</v>
      </c>
      <c r="AA18">
        <f>+F18+H18+J18+L18+N18+P18+R18+T18+V18+X18+Z18</f>
        <v>73234193.16614372</v>
      </c>
    </row>
    <row r="19" spans="1:26" ht="12.75">
      <c r="A19" s="1" t="s">
        <v>23</v>
      </c>
      <c r="B19" s="1"/>
      <c r="C19" s="11"/>
      <c r="D19" s="1">
        <f>D18/(D17*12)</f>
        <v>1929.0072138559362</v>
      </c>
      <c r="E19" s="11">
        <v>0</v>
      </c>
      <c r="F19" s="1">
        <v>0</v>
      </c>
      <c r="G19" s="11"/>
      <c r="H19" s="1">
        <f aca="true" t="shared" si="2" ref="H19:Z19">H18/(H17*12)</f>
        <v>2091.621359367132</v>
      </c>
      <c r="I19" s="11"/>
      <c r="J19" s="1">
        <f t="shared" si="2"/>
        <v>2591.8037875617642</v>
      </c>
      <c r="K19" s="11"/>
      <c r="L19" s="1">
        <f t="shared" si="2"/>
        <v>1719.7097645661563</v>
      </c>
      <c r="M19" s="11"/>
      <c r="N19" s="1">
        <f t="shared" si="2"/>
        <v>4356.971439948804</v>
      </c>
      <c r="O19" s="11"/>
      <c r="P19" s="1">
        <f t="shared" si="2"/>
        <v>1833.9009197319933</v>
      </c>
      <c r="Q19" s="11"/>
      <c r="R19" s="1">
        <f t="shared" si="2"/>
        <v>2000.4393068267457</v>
      </c>
      <c r="S19" s="11"/>
      <c r="T19" s="1">
        <f t="shared" si="2"/>
        <v>1590.7192029591959</v>
      </c>
      <c r="U19" s="11"/>
      <c r="V19" s="1">
        <f t="shared" si="2"/>
        <v>595.8842331633313</v>
      </c>
      <c r="W19" s="11"/>
      <c r="X19" s="1">
        <f t="shared" si="2"/>
        <v>3781.5896552934455</v>
      </c>
      <c r="Y19" s="11"/>
      <c r="Z19" s="1">
        <f t="shared" si="2"/>
        <v>2247.9316384543968</v>
      </c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 t="s">
        <v>37</v>
      </c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7" ht="12.75">
      <c r="A22" s="1" t="s">
        <v>18</v>
      </c>
      <c r="B22" s="1"/>
      <c r="C22" s="11">
        <f>+E22+G22+I22+K22+M22+O22+Q22+S22+U22+W22+Y22</f>
        <v>514</v>
      </c>
      <c r="D22" s="1">
        <f>+H22+J22+L22+N22+P22+R22+T22+V22+X22+Z22</f>
        <v>587.3098967933012</v>
      </c>
      <c r="E22" s="11">
        <v>0</v>
      </c>
      <c r="F22" s="7">
        <v>0</v>
      </c>
      <c r="G22" s="11">
        <f>31+49</f>
        <v>80</v>
      </c>
      <c r="H22" s="1">
        <f>+H$95*G22</f>
        <v>119.13764510779437</v>
      </c>
      <c r="I22" s="11">
        <f>46+6</f>
        <v>52</v>
      </c>
      <c r="J22" s="1">
        <f>+J$95*I22</f>
        <v>54.58156028368794</v>
      </c>
      <c r="K22" s="11">
        <f>89+18</f>
        <v>107</v>
      </c>
      <c r="L22" s="1">
        <f>+L$95*K22</f>
        <v>118.6124031007752</v>
      </c>
      <c r="M22" s="11">
        <f>4+1</f>
        <v>5</v>
      </c>
      <c r="N22" s="1">
        <f>+N$95*M22</f>
        <v>5.5696202531645564</v>
      </c>
      <c r="O22" s="11">
        <f>29+13</f>
        <v>42</v>
      </c>
      <c r="P22" s="1">
        <f>+P$95*O22</f>
        <v>45.31985294117647</v>
      </c>
      <c r="Q22" s="11">
        <f>58+18</f>
        <v>76</v>
      </c>
      <c r="R22" s="1">
        <f>+R$95*Q22</f>
        <v>86.59096774193549</v>
      </c>
      <c r="S22" s="11">
        <f>32+6</f>
        <v>38</v>
      </c>
      <c r="T22" s="1">
        <f>+T$95*S22</f>
        <v>39.91666666666667</v>
      </c>
      <c r="U22" s="11">
        <f>23+6</f>
        <v>29</v>
      </c>
      <c r="V22" s="1">
        <f>+V$95*U22</f>
        <v>30.118694362017806</v>
      </c>
      <c r="W22" s="11">
        <f>34+7</f>
        <v>41</v>
      </c>
      <c r="X22" s="1">
        <f>+X$95*W22</f>
        <v>41.945244956772335</v>
      </c>
      <c r="Y22" s="11">
        <f>32+12</f>
        <v>44</v>
      </c>
      <c r="Z22" s="1">
        <f>+Z$95*Y22</f>
        <v>45.51724137931035</v>
      </c>
      <c r="AA22">
        <f>+F22+H22+J22+L22+N22+P22+R22+T22+V22+X22+Z22</f>
        <v>587.3098967933012</v>
      </c>
    </row>
    <row r="23" spans="1:27" ht="12.75">
      <c r="A23" s="1" t="s">
        <v>20</v>
      </c>
      <c r="B23" s="1"/>
      <c r="C23" s="11">
        <f>+E23+G23+I23+K23+M23+O23+Q23+S23+U23+W23+Y23</f>
        <v>24804</v>
      </c>
      <c r="D23" s="1">
        <f>+H23+J23+L23+N23+P23+R23+T23+V23+X23+Z23</f>
        <v>25473.345529254337</v>
      </c>
      <c r="E23" s="11">
        <v>0</v>
      </c>
      <c r="F23" s="7">
        <v>0</v>
      </c>
      <c r="G23" s="11">
        <f>378+189</f>
        <v>567</v>
      </c>
      <c r="H23" s="1">
        <f>+H$96*G23</f>
        <v>726.9286259541984</v>
      </c>
      <c r="I23" s="11">
        <f>5772+19</f>
        <v>5791</v>
      </c>
      <c r="J23" s="1">
        <f>+J$96*I23</f>
        <v>5872.029695993557</v>
      </c>
      <c r="K23" s="11">
        <f>1583+265</f>
        <v>1848</v>
      </c>
      <c r="L23" s="1">
        <f>+L$96*K23</f>
        <v>1902.614152350439</v>
      </c>
      <c r="M23" s="11">
        <v>89</v>
      </c>
      <c r="N23" s="1">
        <f>+N$96*M23</f>
        <v>97.41028708133972</v>
      </c>
      <c r="O23" s="11">
        <f>196+80</f>
        <v>276</v>
      </c>
      <c r="P23" s="1">
        <f>+P$96*O23</f>
        <v>287.13699967458507</v>
      </c>
      <c r="Q23" s="11">
        <f>1214+56</f>
        <v>1270</v>
      </c>
      <c r="R23" s="1">
        <f>+R$96*Q23</f>
        <v>1412.383306674422</v>
      </c>
      <c r="S23" s="11">
        <f>384+74</f>
        <v>458</v>
      </c>
      <c r="T23" s="1">
        <f>+T$96*S23</f>
        <v>517.3264248704663</v>
      </c>
      <c r="U23" s="11">
        <f>356+75</f>
        <v>431</v>
      </c>
      <c r="V23" s="1">
        <f>+V$96*U23</f>
        <v>443.31910728269384</v>
      </c>
      <c r="W23" s="11">
        <f>180+29</f>
        <v>209</v>
      </c>
      <c r="X23" s="1">
        <f>+X$96*W23</f>
        <v>249.31185218566924</v>
      </c>
      <c r="Y23" s="11">
        <f>13616+249</f>
        <v>13865</v>
      </c>
      <c r="Z23" s="1">
        <f>+Z$96*Y23</f>
        <v>13964.885077186966</v>
      </c>
      <c r="AA23">
        <f>+F23+H23+J23+L23+N23+P23+R23+T23+V23+X23+Z23</f>
        <v>25473.345529254337</v>
      </c>
    </row>
    <row r="24" spans="1:27" ht="12.75">
      <c r="A24" s="1" t="s">
        <v>21</v>
      </c>
      <c r="B24" s="1"/>
      <c r="C24" s="11">
        <f>+E24+G24+I24+K24+M24+O24+Q24+S24+U24+W24+Y24</f>
        <v>1000345325</v>
      </c>
      <c r="D24" s="1">
        <f>+H24+J24+L24+N24+P24+R24+T24+V24+X24+Z24</f>
        <v>1021449518.5957819</v>
      </c>
      <c r="E24" s="11">
        <v>0</v>
      </c>
      <c r="F24" s="7">
        <v>0</v>
      </c>
      <c r="G24" s="11">
        <f>12938720+4057841</f>
        <v>16996561</v>
      </c>
      <c r="H24" s="1">
        <f>+H$97*G24</f>
        <v>20735387.561981995</v>
      </c>
      <c r="I24" s="11">
        <f>196356479+393541</f>
        <v>196750020</v>
      </c>
      <c r="J24" s="1">
        <f>+J$97*I24</f>
        <v>199711421.80271766</v>
      </c>
      <c r="K24" s="11">
        <f>49442569+4590999</f>
        <v>54033568</v>
      </c>
      <c r="L24" s="1">
        <f>+L$97*K24</f>
        <v>56066446.15507036</v>
      </c>
      <c r="M24" s="11">
        <f>3628458+5000</f>
        <v>3633458</v>
      </c>
      <c r="N24" s="1">
        <f>+N$97*M24</f>
        <v>3956353.998113753</v>
      </c>
      <c r="O24" s="11">
        <f>5225946+1243898</f>
        <v>6469844</v>
      </c>
      <c r="P24" s="1">
        <f>+P$97*O24</f>
        <v>6828828.662410774</v>
      </c>
      <c r="Q24" s="11">
        <f>40536973+1252013</f>
        <v>41788986</v>
      </c>
      <c r="R24" s="1">
        <f>+R$97*Q24</f>
        <v>47754014.61277105</v>
      </c>
      <c r="S24" s="11">
        <f>19286183+1278224</f>
        <v>20564407</v>
      </c>
      <c r="T24" s="1">
        <f>+T$97*S24</f>
        <v>21032403.200113382</v>
      </c>
      <c r="U24" s="11">
        <f>3408649+763010</f>
        <v>4171659</v>
      </c>
      <c r="V24" s="1">
        <f>+V$97*U24</f>
        <v>4290479.99298692</v>
      </c>
      <c r="W24" s="11">
        <f>3322644+27716+140052</f>
        <v>3490412</v>
      </c>
      <c r="X24" s="1">
        <f>+X$97*W24</f>
        <v>4322125.273572832</v>
      </c>
      <c r="Y24" s="11">
        <f>646875761+5570649</f>
        <v>652446410</v>
      </c>
      <c r="Z24" s="1">
        <f>+Z$97*Y24</f>
        <v>656752057.3360432</v>
      </c>
      <c r="AA24">
        <f>+F24+H24+J24+L24+N24+P24+R24+T24+V24+X24+Z24</f>
        <v>1021449518.5957819</v>
      </c>
    </row>
    <row r="25" spans="1:26" ht="12.75">
      <c r="A25" s="1" t="s">
        <v>23</v>
      </c>
      <c r="B25" s="1"/>
      <c r="C25" s="11"/>
      <c r="D25" s="1">
        <f>D24/(D23*12)</f>
        <v>3341.563169178542</v>
      </c>
      <c r="E25" s="11">
        <v>0</v>
      </c>
      <c r="F25" s="7">
        <v>0</v>
      </c>
      <c r="G25" s="11"/>
      <c r="H25" s="1">
        <f>H24/(H23*12)</f>
        <v>2377.054502744775</v>
      </c>
      <c r="I25" s="11"/>
      <c r="J25" s="1">
        <f>J24/(J23*12)</f>
        <v>2834.219059708595</v>
      </c>
      <c r="K25" s="11"/>
      <c r="L25" s="1">
        <f>L24/(L23*12)</f>
        <v>2455.675965872506</v>
      </c>
      <c r="M25" s="11"/>
      <c r="N25" s="1">
        <f>N24/(N23*12)</f>
        <v>3384.6134365067205</v>
      </c>
      <c r="O25" s="11"/>
      <c r="P25" s="1">
        <f>P24/(P23*12)</f>
        <v>1981.872959060758</v>
      </c>
      <c r="Q25" s="11"/>
      <c r="R25" s="1">
        <f>R24/(R23*12)</f>
        <v>2817.5787684017578</v>
      </c>
      <c r="S25" s="11"/>
      <c r="T25" s="1">
        <f>T24/(T23*12)</f>
        <v>3387.996789676798</v>
      </c>
      <c r="U25" s="11"/>
      <c r="V25" s="1">
        <f>V24/(V23*12)</f>
        <v>806.5070815627672</v>
      </c>
      <c r="W25" s="11"/>
      <c r="X25" s="1">
        <f>X24/(X23*12)</f>
        <v>1444.6850519679097</v>
      </c>
      <c r="Y25" s="11"/>
      <c r="Z25" s="1">
        <f>Z24/(Z23*12)</f>
        <v>3919.068277958318</v>
      </c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 t="s">
        <v>46</v>
      </c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7" ht="12.75">
      <c r="A28" s="1" t="s">
        <v>18</v>
      </c>
      <c r="B28" s="1"/>
      <c r="C28" s="11">
        <f>+E28+G28+I28+K28+M28+O28+Q28+S28+U28+W28+Y28</f>
        <v>423</v>
      </c>
      <c r="D28" s="1">
        <f>+H28+J28+L28+N28+P28+R28+T28+V28+X28+Z28</f>
        <v>483.4023358370265</v>
      </c>
      <c r="E28" s="11">
        <v>1</v>
      </c>
      <c r="F28" s="1">
        <f>+F$95*E28</f>
        <v>1</v>
      </c>
      <c r="G28" s="11">
        <v>64</v>
      </c>
      <c r="H28" s="1">
        <f>+H$95*G28</f>
        <v>95.3101160862355</v>
      </c>
      <c r="I28" s="11">
        <v>22</v>
      </c>
      <c r="J28" s="1">
        <f>+J$95*I28</f>
        <v>23.092198581560282</v>
      </c>
      <c r="K28" s="11">
        <v>73</v>
      </c>
      <c r="L28" s="1">
        <f>+L$95*K28</f>
        <v>80.92248062015504</v>
      </c>
      <c r="M28" s="15">
        <v>14</v>
      </c>
      <c r="N28" s="1">
        <f>+N$95*M28</f>
        <v>15.594936708860759</v>
      </c>
      <c r="O28" s="11">
        <v>40</v>
      </c>
      <c r="P28" s="1">
        <f>+P$95*O28</f>
        <v>43.161764705882355</v>
      </c>
      <c r="Q28" s="11">
        <v>83</v>
      </c>
      <c r="R28" s="1">
        <f>+R$95*Q28</f>
        <v>94.56645161290324</v>
      </c>
      <c r="S28" s="11">
        <v>39</v>
      </c>
      <c r="T28" s="1">
        <f>+T$95*S28</f>
        <v>40.9671052631579</v>
      </c>
      <c r="U28" s="11">
        <v>29</v>
      </c>
      <c r="V28" s="1">
        <f>+V$95*U28</f>
        <v>30.118694362017806</v>
      </c>
      <c r="W28" s="11">
        <v>29</v>
      </c>
      <c r="X28" s="1">
        <f>+X$95*W28</f>
        <v>29.6685878962536</v>
      </c>
      <c r="Y28" s="11">
        <v>29</v>
      </c>
      <c r="Z28" s="1">
        <f>+Z$95*Y28</f>
        <v>30.000000000000004</v>
      </c>
      <c r="AA28">
        <f>+F28+H28+J28+L28+N28+P28+R28+T28+V28+X28+Z28</f>
        <v>484.4023358370265</v>
      </c>
    </row>
    <row r="29" spans="1:27" ht="12.75">
      <c r="A29" s="1" t="s">
        <v>20</v>
      </c>
      <c r="B29" s="1"/>
      <c r="C29" s="11">
        <f>+E29+G29+I29+K29+M29+O29+Q29+S29+U29+W29+Y29</f>
        <v>4624</v>
      </c>
      <c r="D29" s="1">
        <f>+H29+J29+L29+N29+P29+R29+T29+V29+X29+Z29</f>
        <v>4936.768481118509</v>
      </c>
      <c r="E29" s="11">
        <v>22</v>
      </c>
      <c r="F29" s="1">
        <f>+F$96*E29</f>
        <v>22</v>
      </c>
      <c r="G29" s="11">
        <v>557</v>
      </c>
      <c r="H29" s="1">
        <f>+H$96*G29</f>
        <v>714.1080152671755</v>
      </c>
      <c r="I29" s="11">
        <v>232</v>
      </c>
      <c r="J29" s="1">
        <f>+J$96*I29</f>
        <v>235.2462250855647</v>
      </c>
      <c r="K29" s="11">
        <v>862</v>
      </c>
      <c r="L29" s="1">
        <f>+L$96*K29</f>
        <v>887.4747831851074</v>
      </c>
      <c r="M29" s="15">
        <v>166</v>
      </c>
      <c r="N29" s="1">
        <f>+N$96*M29</f>
        <v>181.6866028708134</v>
      </c>
      <c r="O29" s="11">
        <v>96</v>
      </c>
      <c r="P29" s="1">
        <f>+P$96*O29</f>
        <v>99.87373901724698</v>
      </c>
      <c r="Q29" s="11">
        <v>403</v>
      </c>
      <c r="R29" s="1">
        <f>+R$96*Q29</f>
        <v>448.1814744801513</v>
      </c>
      <c r="S29" s="11">
        <v>243</v>
      </c>
      <c r="T29" s="1">
        <f>+T$96*S29</f>
        <v>274.47668393782385</v>
      </c>
      <c r="U29" s="11">
        <v>388</v>
      </c>
      <c r="V29" s="1">
        <f>+V$96*U29</f>
        <v>399.09005481597495</v>
      </c>
      <c r="W29" s="11">
        <v>160</v>
      </c>
      <c r="X29" s="1">
        <f>+X$96*W29</f>
        <v>190.86074808472287</v>
      </c>
      <c r="Y29" s="11">
        <v>1495</v>
      </c>
      <c r="Z29" s="1">
        <f>+Z$96*Y29</f>
        <v>1505.770154373928</v>
      </c>
      <c r="AA29">
        <f>+F29+H29+J29+L29+N29+P29+R29+T29+V29+X29+Z29</f>
        <v>4958.768481118509</v>
      </c>
    </row>
    <row r="30" spans="1:27" ht="12.75">
      <c r="A30" s="1" t="s">
        <v>21</v>
      </c>
      <c r="B30" s="1"/>
      <c r="C30" s="11">
        <f>+E30+G30+I30+K30+M30+O30+Q30+S30+U30+W30+Y30</f>
        <v>113504232</v>
      </c>
      <c r="D30" s="1">
        <f>+H30+J30+L30+N30+P30+R30+T30+V30+X30+Z30</f>
        <v>120549998.79102546</v>
      </c>
      <c r="E30" s="11">
        <v>902646</v>
      </c>
      <c r="F30" s="1">
        <f>+F$97*E30</f>
        <v>905452.6978381713</v>
      </c>
      <c r="G30" s="11">
        <v>16632194</v>
      </c>
      <c r="H30" s="1">
        <f>+H$97*G30</f>
        <v>20290868.75845482</v>
      </c>
      <c r="I30" s="11">
        <v>7735025</v>
      </c>
      <c r="J30" s="1">
        <f>+J$97*I30</f>
        <v>7851449.470905091</v>
      </c>
      <c r="K30" s="11">
        <v>18785691</v>
      </c>
      <c r="L30" s="1">
        <f>+L$97*K30</f>
        <v>19492455.74412724</v>
      </c>
      <c r="M30" s="15">
        <v>5102941</v>
      </c>
      <c r="N30" s="1">
        <f>+N$97*M30</f>
        <v>5556426.144870422</v>
      </c>
      <c r="O30" s="11">
        <v>2759010</v>
      </c>
      <c r="P30" s="1">
        <f>+P$97*O30</f>
        <v>2912095.9590181694</v>
      </c>
      <c r="Q30" s="11">
        <v>11654322</v>
      </c>
      <c r="R30" s="1">
        <f>+R$97*Q30</f>
        <v>13317879.095940234</v>
      </c>
      <c r="S30" s="11">
        <v>4986444</v>
      </c>
      <c r="T30" s="1">
        <f>+T$97*S30</f>
        <v>5099923.413438869</v>
      </c>
      <c r="U30" s="11">
        <v>3161285</v>
      </c>
      <c r="V30" s="1">
        <f>+V$97*U30</f>
        <v>3251327.6000338607</v>
      </c>
      <c r="W30" s="11">
        <v>3095362</v>
      </c>
      <c r="X30" s="1">
        <f>+X$97*W30</f>
        <v>3832940.7333738683</v>
      </c>
      <c r="Y30" s="11">
        <v>38689312</v>
      </c>
      <c r="Z30" s="1">
        <f>+Z$97*Y30</f>
        <v>38944631.87086287</v>
      </c>
      <c r="AA30">
        <f>+F30+H30+J30+L30+N30+P30+R30+T30+V30+X30+Z30</f>
        <v>121455451.48886363</v>
      </c>
    </row>
    <row r="31" spans="1:26" ht="12.75">
      <c r="A31" s="1" t="s">
        <v>23</v>
      </c>
      <c r="B31" s="1"/>
      <c r="C31" s="11">
        <f>C30/(C29*12)</f>
        <v>2045.563581314879</v>
      </c>
      <c r="D31" s="1">
        <f>D30/(D29*12)</f>
        <v>2034.9006178854474</v>
      </c>
      <c r="E31" s="11"/>
      <c r="F31" s="2" t="s">
        <v>32</v>
      </c>
      <c r="G31" s="11"/>
      <c r="H31" s="1">
        <f>H30/(H29*12)</f>
        <v>2367.857094054044</v>
      </c>
      <c r="I31" s="11"/>
      <c r="J31" s="1">
        <f>J30/(J29*12)</f>
        <v>2781.2878003495166</v>
      </c>
      <c r="K31" s="11"/>
      <c r="L31" s="1">
        <f>L30/(L29*12)</f>
        <v>1830.3295403851444</v>
      </c>
      <c r="M31" s="15"/>
      <c r="N31" s="1">
        <f>N30/(N29*12)</f>
        <v>2548.5396543066654</v>
      </c>
      <c r="O31" s="11"/>
      <c r="P31" s="1">
        <f>P30/(P29*12)</f>
        <v>2429.814540232715</v>
      </c>
      <c r="Q31" s="11"/>
      <c r="R31" s="1">
        <f>R30/(R29*12)</f>
        <v>2476.2809736442387</v>
      </c>
      <c r="S31" s="11"/>
      <c r="T31" s="1">
        <f>T30/(T29*12)</f>
        <v>1548.3778501304123</v>
      </c>
      <c r="U31" s="11"/>
      <c r="V31" s="1">
        <f>V30/(V29*12)</f>
        <v>678.9043309897156</v>
      </c>
      <c r="W31" s="11"/>
      <c r="X31" s="1">
        <f>X30/(X29*12)</f>
        <v>1673.5328294918409</v>
      </c>
      <c r="Y31" s="11"/>
      <c r="Z31" s="1">
        <f>Z30/(Z29*12)</f>
        <v>2155.2997180953853</v>
      </c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 t="s">
        <v>55</v>
      </c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7" ht="12.75">
      <c r="A34" s="1" t="s">
        <v>18</v>
      </c>
      <c r="B34" s="1"/>
      <c r="C34" s="11">
        <f>+E34+G34+I34+K34+M34+O34+Q34+S34+U34+W34+Y34</f>
        <v>1283</v>
      </c>
      <c r="D34" s="1">
        <f>+H34+J34+L34+N34+P34+R34+T34+V34+X34+Z34</f>
        <v>1441.8416410962802</v>
      </c>
      <c r="E34" s="11">
        <v>1</v>
      </c>
      <c r="F34" s="1">
        <f>+F$95*E34</f>
        <v>1</v>
      </c>
      <c r="G34" s="11">
        <v>134</v>
      </c>
      <c r="H34" s="1">
        <f>+H$95*G34</f>
        <v>199.55555555555557</v>
      </c>
      <c r="I34" s="11">
        <v>40</v>
      </c>
      <c r="J34" s="1">
        <f>+J$95*I34</f>
        <v>41.98581560283688</v>
      </c>
      <c r="K34" s="11">
        <v>320</v>
      </c>
      <c r="L34" s="1">
        <f>+L$95*K34</f>
        <v>354.72868217054264</v>
      </c>
      <c r="M34" s="11">
        <v>22</v>
      </c>
      <c r="N34" s="1">
        <f>+N$95*M34</f>
        <v>24.50632911392405</v>
      </c>
      <c r="O34" s="11">
        <v>193</v>
      </c>
      <c r="P34" s="1">
        <f>+P$95*O34</f>
        <v>208.25551470588238</v>
      </c>
      <c r="Q34" s="11">
        <v>177</v>
      </c>
      <c r="R34" s="1">
        <f>+R$95*Q34</f>
        <v>201.66580645161292</v>
      </c>
      <c r="S34" s="11">
        <v>128</v>
      </c>
      <c r="T34" s="1">
        <f>+T$95*S34</f>
        <v>134.4561403508772</v>
      </c>
      <c r="U34" s="11">
        <v>130</v>
      </c>
      <c r="V34" s="1">
        <f>+V$95*U34</f>
        <v>135.01483679525225</v>
      </c>
      <c r="W34" s="11">
        <v>95</v>
      </c>
      <c r="X34" s="1">
        <f>+X$95*W34</f>
        <v>97.19020172910662</v>
      </c>
      <c r="Y34" s="11">
        <v>43</v>
      </c>
      <c r="Z34" s="1">
        <f>+Z$95*Y34</f>
        <v>44.48275862068966</v>
      </c>
      <c r="AA34">
        <f>+F34+H34+J34+L34+N34+P34+R34+T34+V34+X34+Z34</f>
        <v>1442.8416410962802</v>
      </c>
    </row>
    <row r="35" spans="1:27" ht="12.75">
      <c r="A35" s="1" t="s">
        <v>20</v>
      </c>
      <c r="B35" s="1"/>
      <c r="C35" s="11">
        <f>+E35+G35+I35+K35+M35+O35+Q35+S35+U35+W35+Y35</f>
        <v>20860</v>
      </c>
      <c r="D35" s="1">
        <f>+H35+J35+L35+N35+P35+R35+T35+V35+X35+Z35</f>
        <v>22216.31084642894</v>
      </c>
      <c r="E35" s="11">
        <v>1</v>
      </c>
      <c r="F35" s="1">
        <f>+F$96*E35</f>
        <v>1</v>
      </c>
      <c r="G35" s="11">
        <v>836</v>
      </c>
      <c r="H35" s="1">
        <f>+H$96*G35</f>
        <v>1071.8030534351144</v>
      </c>
      <c r="I35" s="11">
        <v>343</v>
      </c>
      <c r="J35" s="1">
        <f>+J$96*I35</f>
        <v>347.79937588081333</v>
      </c>
      <c r="K35" s="11">
        <v>6658</v>
      </c>
      <c r="L35" s="1">
        <f>+L$96*K35</f>
        <v>6854.764624647848</v>
      </c>
      <c r="M35" s="11">
        <v>306</v>
      </c>
      <c r="N35" s="1">
        <f>+N$96*M35</f>
        <v>334.9162679425837</v>
      </c>
      <c r="O35" s="11">
        <v>1547</v>
      </c>
      <c r="P35" s="1">
        <f>+P$96*O35</f>
        <v>1609.4236902050113</v>
      </c>
      <c r="Q35" s="11">
        <v>2395</v>
      </c>
      <c r="R35" s="1">
        <f>+R$96*Q35</f>
        <v>2663.510251563182</v>
      </c>
      <c r="S35" s="11">
        <v>2353</v>
      </c>
      <c r="T35" s="1">
        <f>+T$96*S35</f>
        <v>2657.79274611399</v>
      </c>
      <c r="U35" s="11">
        <v>3108</v>
      </c>
      <c r="V35" s="1">
        <f>+V$96*U35</f>
        <v>3196.83476898982</v>
      </c>
      <c r="W35" s="11">
        <v>768</v>
      </c>
      <c r="X35" s="1">
        <f>+X$96*W35</f>
        <v>916.1315908066697</v>
      </c>
      <c r="Y35" s="11">
        <v>2545</v>
      </c>
      <c r="Z35" s="1">
        <f>+Z$96*Y35</f>
        <v>2563.334476843911</v>
      </c>
      <c r="AA35">
        <f>+F35+H35+J35+L35+N35+P35+R35+T35+V35+X35+Z35</f>
        <v>22217.31084642894</v>
      </c>
    </row>
    <row r="36" spans="1:27" ht="12.75">
      <c r="A36" s="1" t="s">
        <v>21</v>
      </c>
      <c r="B36" s="1"/>
      <c r="C36" s="11">
        <f>+E36+G36+I36+K36+M36+O36+Q36+S36+U36+W36+Y36</f>
        <v>510905466</v>
      </c>
      <c r="D36" s="1">
        <f>+H36+J36+L36+N36+P36+R36+T36+V36+X36+Z36</f>
        <v>544231658.6686461</v>
      </c>
      <c r="E36" s="11">
        <v>66094</v>
      </c>
      <c r="F36" s="1">
        <f>+F$97*E36</f>
        <v>66299.51344260773</v>
      </c>
      <c r="G36" s="11">
        <v>23423218</v>
      </c>
      <c r="H36" s="1">
        <f>+H$97*G36</f>
        <v>28575751.481655188</v>
      </c>
      <c r="I36" s="11">
        <v>8651767</v>
      </c>
      <c r="J36" s="1">
        <f>+J$97*I36</f>
        <v>8781989.901072605</v>
      </c>
      <c r="K36" s="11">
        <v>156458966</v>
      </c>
      <c r="L36" s="1">
        <f>+L$97*K36</f>
        <v>162345344.15193504</v>
      </c>
      <c r="M36" s="11">
        <v>5151139</v>
      </c>
      <c r="N36" s="1">
        <f>+N$97*M36</f>
        <v>5608907.376248653</v>
      </c>
      <c r="O36" s="11">
        <v>37544862</v>
      </c>
      <c r="P36" s="1">
        <f>+P$97*O36</f>
        <v>39628069.81928113</v>
      </c>
      <c r="Q36" s="11">
        <v>87950415</v>
      </c>
      <c r="R36" s="1">
        <f>+R$97*Q36</f>
        <v>100504601.93289395</v>
      </c>
      <c r="S36" s="11">
        <v>73588389</v>
      </c>
      <c r="T36" s="1">
        <f>+T$97*S36</f>
        <v>75263082.87395734</v>
      </c>
      <c r="U36" s="11">
        <v>31257609</v>
      </c>
      <c r="V36" s="1">
        <f>+V$97*U36</f>
        <v>32147916.70246966</v>
      </c>
      <c r="W36" s="11">
        <f>28000+17193972</f>
        <v>17221972</v>
      </c>
      <c r="X36" s="1">
        <f>+X$97*W36</f>
        <v>21325711.819110084</v>
      </c>
      <c r="Y36" s="11">
        <v>69591035</v>
      </c>
      <c r="Z36" s="1">
        <f>+Z$97*Y36</f>
        <v>70050282.61002247</v>
      </c>
      <c r="AA36">
        <f>+F36+H36+J36+L36+N36+P36+R36+T36+V36+X36+Z36</f>
        <v>544297958.1820887</v>
      </c>
    </row>
    <row r="37" spans="1:26" ht="12.75">
      <c r="A37" s="1" t="s">
        <v>23</v>
      </c>
      <c r="B37" s="1"/>
      <c r="C37" s="11">
        <f>C36/(C35*12)</f>
        <v>2041.009372003835</v>
      </c>
      <c r="D37" s="1">
        <f>D36/(D35*12)</f>
        <v>2041.4117598501814</v>
      </c>
      <c r="E37" s="11"/>
      <c r="F37" s="2" t="s">
        <v>32</v>
      </c>
      <c r="G37" s="11"/>
      <c r="H37" s="1">
        <f>H36/(H35*12)</f>
        <v>2221.781899052434</v>
      </c>
      <c r="I37" s="11"/>
      <c r="J37" s="1">
        <f>J36/(J35*12)</f>
        <v>2104.180002918811</v>
      </c>
      <c r="K37" s="11"/>
      <c r="L37" s="1">
        <f>L36/(L35*12)</f>
        <v>1973.6313965737281</v>
      </c>
      <c r="M37" s="11"/>
      <c r="N37" s="1">
        <f>N36/(N35*12)</f>
        <v>1395.5994162124464</v>
      </c>
      <c r="O37" s="11"/>
      <c r="P37" s="1">
        <f>P36/(P35*12)</f>
        <v>2051.8768126161376</v>
      </c>
      <c r="Q37" s="11"/>
      <c r="R37" s="1">
        <f>R36/(R35*12)</f>
        <v>3144.490804753771</v>
      </c>
      <c r="S37" s="11"/>
      <c r="T37" s="1">
        <f>T36/(T35*12)</f>
        <v>2359.82417440189</v>
      </c>
      <c r="U37" s="11"/>
      <c r="V37" s="1">
        <f>V36/(V35*12)</f>
        <v>838.0142397493016</v>
      </c>
      <c r="W37" s="11"/>
      <c r="X37" s="1">
        <f>X36/(X35*12)</f>
        <v>1939.8333923052498</v>
      </c>
      <c r="Y37" s="11"/>
      <c r="Z37" s="1">
        <f>Z36/(Z35*12)</f>
        <v>2277.31636412218</v>
      </c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 t="s">
        <v>68</v>
      </c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7" ht="12.75">
      <c r="A40" s="1" t="s">
        <v>18</v>
      </c>
      <c r="B40" s="1"/>
      <c r="C40" s="11">
        <f>+E40+G40+I40+K40+M40+O40+Q40+S40+U40+W40+Y40</f>
        <v>1049</v>
      </c>
      <c r="D40" s="1">
        <f>+H40+J40+L40+N40+P40+R40+T40+V40+X40+Z40</f>
        <v>1170.1001600025234</v>
      </c>
      <c r="E40" s="11">
        <v>1</v>
      </c>
      <c r="F40" s="1">
        <f>+F$95*E40</f>
        <v>1</v>
      </c>
      <c r="G40" s="11">
        <v>81</v>
      </c>
      <c r="H40" s="1">
        <f>+H$95*G40</f>
        <v>120.6268656716418</v>
      </c>
      <c r="I40" s="11">
        <v>28</v>
      </c>
      <c r="J40" s="1">
        <f>+J$95*I40</f>
        <v>29.390070921985814</v>
      </c>
      <c r="K40" s="11">
        <v>210</v>
      </c>
      <c r="L40" s="1">
        <f>+L$95*K40</f>
        <v>232.7906976744186</v>
      </c>
      <c r="M40" s="11">
        <v>12</v>
      </c>
      <c r="N40" s="1">
        <f>+N$95*M40</f>
        <v>13.367088607594937</v>
      </c>
      <c r="O40" s="11">
        <v>143</v>
      </c>
      <c r="P40" s="1">
        <f>+P$95*O40</f>
        <v>154.30330882352942</v>
      </c>
      <c r="Q40" s="11">
        <v>226</v>
      </c>
      <c r="R40" s="1">
        <f>+R$95*Q40</f>
        <v>257.4941935483871</v>
      </c>
      <c r="S40" s="11">
        <v>172</v>
      </c>
      <c r="T40" s="1">
        <f>+T$95*S40</f>
        <v>180.67543859649123</v>
      </c>
      <c r="U40" s="11">
        <v>56</v>
      </c>
      <c r="V40" s="1">
        <f>+V$95*U40</f>
        <v>58.16023738872404</v>
      </c>
      <c r="W40" s="11">
        <v>74</v>
      </c>
      <c r="X40" s="1">
        <f>+X$95*W40</f>
        <v>75.70605187319885</v>
      </c>
      <c r="Y40" s="11">
        <v>46</v>
      </c>
      <c r="Z40" s="1">
        <f>+Z$95*Y40</f>
        <v>47.58620689655173</v>
      </c>
      <c r="AA40">
        <f>+F40+H40+J40+L40+N40+P40+R40+T40+V40+X40+Z40</f>
        <v>1171.1001600025234</v>
      </c>
    </row>
    <row r="41" spans="1:27" ht="12.75">
      <c r="A41" s="1" t="s">
        <v>20</v>
      </c>
      <c r="B41" s="1"/>
      <c r="C41" s="11">
        <f>+E41+G41+I41+K41+M41+O41+Q41+S41+U41+W41+Y41</f>
        <v>11189</v>
      </c>
      <c r="D41" s="1">
        <f>+H41+J41+L41+N41+P41+R41+T41+V41+X41+Z41</f>
        <v>12015.45731124073</v>
      </c>
      <c r="E41" s="11">
        <v>0</v>
      </c>
      <c r="F41" s="1">
        <f>+F$96*E41</f>
        <v>0</v>
      </c>
      <c r="G41" s="11">
        <v>321</v>
      </c>
      <c r="H41" s="1">
        <f>+H$96*G41</f>
        <v>411.5416030534351</v>
      </c>
      <c r="I41" s="11">
        <v>229</v>
      </c>
      <c r="J41" s="1">
        <f>+J$96*I41</f>
        <v>232.20424803704447</v>
      </c>
      <c r="K41" s="11">
        <v>2832</v>
      </c>
      <c r="L41" s="1">
        <f>+L$96*K41</f>
        <v>2915.6944152902834</v>
      </c>
      <c r="M41" s="11">
        <v>21</v>
      </c>
      <c r="N41" s="1">
        <f>+N$96*M41</f>
        <v>22.98444976076555</v>
      </c>
      <c r="O41" s="11">
        <v>623</v>
      </c>
      <c r="P41" s="1">
        <f>+P$96*O41</f>
        <v>648.1389521640091</v>
      </c>
      <c r="Q41" s="11">
        <v>1279</v>
      </c>
      <c r="R41" s="1">
        <f>+R$96*Q41</f>
        <v>1422.3923222335322</v>
      </c>
      <c r="S41" s="11">
        <v>2700</v>
      </c>
      <c r="T41" s="1">
        <f>+T$96*S41</f>
        <v>3049.740932642487</v>
      </c>
      <c r="U41" s="11">
        <v>1059</v>
      </c>
      <c r="V41" s="1">
        <f>+V$96*U41</f>
        <v>1089.2689898198905</v>
      </c>
      <c r="W41" s="11">
        <v>448</v>
      </c>
      <c r="X41" s="1">
        <f>+X$96*W41</f>
        <v>534.410094637224</v>
      </c>
      <c r="Y41" s="11">
        <v>1677</v>
      </c>
      <c r="Z41" s="1">
        <f>+Z$96*Y41</f>
        <v>1689.0813036020584</v>
      </c>
      <c r="AA41">
        <f>+F41+H41+J41+L41+N41+P41+R41+T41+V41+X41+Z41</f>
        <v>12015.45731124073</v>
      </c>
    </row>
    <row r="42" spans="1:27" ht="12.75">
      <c r="A42" s="1" t="s">
        <v>21</v>
      </c>
      <c r="B42" s="1"/>
      <c r="C42" s="11">
        <f>+E42+G42+I42+K42+M42+O42+Q42+S42+U42+W42+Y42</f>
        <v>269870794</v>
      </c>
      <c r="D42" s="1">
        <f>+H42+J42+L42+N42+P42+R42+T42+V42+X42+Z42</f>
        <v>286028313.7469452</v>
      </c>
      <c r="E42" s="11">
        <v>0</v>
      </c>
      <c r="F42" s="1">
        <f>+F$97*E42</f>
        <v>0</v>
      </c>
      <c r="G42" s="11">
        <v>8522557</v>
      </c>
      <c r="H42" s="1">
        <f>+H$97*G42</f>
        <v>10397310.51558504</v>
      </c>
      <c r="I42" s="11">
        <v>3540410</v>
      </c>
      <c r="J42" s="1">
        <f>+J$97*I42</f>
        <v>3593698.820790766</v>
      </c>
      <c r="K42" s="11">
        <v>57708003</v>
      </c>
      <c r="L42" s="1">
        <f>+L$97*K42</f>
        <v>59879122.602381885</v>
      </c>
      <c r="M42" s="11">
        <v>944829</v>
      </c>
      <c r="N42" s="1">
        <f>+N$97*M42</f>
        <v>1028793.505163351</v>
      </c>
      <c r="O42" s="11">
        <v>18062928</v>
      </c>
      <c r="P42" s="1">
        <f>+P$97*O42</f>
        <v>19065164.547006406</v>
      </c>
      <c r="Q42" s="11">
        <v>48486569</v>
      </c>
      <c r="R42" s="1">
        <f>+R$97*Q42</f>
        <v>55407621.62903718</v>
      </c>
      <c r="S42" s="11">
        <v>65261538</v>
      </c>
      <c r="T42" s="1">
        <f>+T$97*S42</f>
        <v>66746732.87080542</v>
      </c>
      <c r="U42" s="11">
        <v>10057952</v>
      </c>
      <c r="V42" s="1">
        <f>+V$97*U42</f>
        <v>10344431.753991105</v>
      </c>
      <c r="W42" s="11">
        <f>7497+8199242</f>
        <v>8206739</v>
      </c>
      <c r="X42" s="1">
        <f>+X$97*W42</f>
        <v>10162282.861024955</v>
      </c>
      <c r="Y42" s="11">
        <v>49079269</v>
      </c>
      <c r="Z42" s="1">
        <f>+Z$97*Y42</f>
        <v>49403154.641159095</v>
      </c>
      <c r="AA42">
        <f>+F42+H42+J42+L42+N42+P42+R42+T42+V42+X42+Z42</f>
        <v>286028313.7469452</v>
      </c>
    </row>
    <row r="43" spans="1:26" ht="12.75">
      <c r="A43" s="1" t="s">
        <v>23</v>
      </c>
      <c r="B43" s="1"/>
      <c r="C43" s="11"/>
      <c r="D43" s="1">
        <f>D42/(D41*12)</f>
        <v>1983.7524444405963</v>
      </c>
      <c r="E43" s="11"/>
      <c r="F43" s="2" t="s">
        <v>32</v>
      </c>
      <c r="G43" s="11"/>
      <c r="H43" s="1">
        <f>H42/(H41*12)</f>
        <v>2105.358332029727</v>
      </c>
      <c r="I43" s="11"/>
      <c r="J43" s="1">
        <f>J42/(J41*12)</f>
        <v>1289.704664166124</v>
      </c>
      <c r="K43" s="11"/>
      <c r="L43" s="1">
        <f>L42/(L41*12)</f>
        <v>1711.4025589801158</v>
      </c>
      <c r="M43" s="11"/>
      <c r="N43" s="1">
        <f>N42/(N41*12)</f>
        <v>3730.034566382867</v>
      </c>
      <c r="O43" s="11"/>
      <c r="P43" s="1">
        <f>P42/(P41*12)</f>
        <v>2451.270220600016</v>
      </c>
      <c r="Q43" s="11"/>
      <c r="R43" s="1">
        <f>R42/(R41*12)</f>
        <v>3246.1520849391113</v>
      </c>
      <c r="S43" s="11"/>
      <c r="T43" s="1">
        <f>T42/(T41*12)</f>
        <v>1823.8361428340477</v>
      </c>
      <c r="U43" s="11"/>
      <c r="V43" s="1">
        <f>V42/(V41*12)</f>
        <v>791.3894433383213</v>
      </c>
      <c r="W43" s="11"/>
      <c r="X43" s="1">
        <f>X42/(X41*12)</f>
        <v>1584.6573887424202</v>
      </c>
      <c r="Y43" s="11"/>
      <c r="Z43" s="1">
        <f>Z42/(Z41*12)</f>
        <v>2437.377966738692</v>
      </c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 t="s">
        <v>78</v>
      </c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spans="1:27" ht="12.75">
      <c r="A46" s="1" t="s">
        <v>18</v>
      </c>
      <c r="B46" s="1"/>
      <c r="C46" s="11">
        <f>+E46+G46+I46+K46+M46+O46+Q46+S46+U46+W46+Y46</f>
        <v>236</v>
      </c>
      <c r="D46" s="1">
        <f>+H46+J46+L46+P46+R46+T46+V46+X46+Z46</f>
        <v>263.07088095147327</v>
      </c>
      <c r="E46" s="11">
        <v>1</v>
      </c>
      <c r="F46" s="1">
        <f>+F$95*E46</f>
        <v>1</v>
      </c>
      <c r="G46" s="15">
        <v>25</v>
      </c>
      <c r="H46" s="1">
        <f>+H$95*G46</f>
        <v>37.23051409618574</v>
      </c>
      <c r="I46" s="11">
        <v>8</v>
      </c>
      <c r="J46" s="1">
        <f>+J$95*I46</f>
        <v>8.397163120567376</v>
      </c>
      <c r="K46" s="15">
        <v>54</v>
      </c>
      <c r="L46" s="1">
        <f>+L$95*K46</f>
        <v>59.860465116279066</v>
      </c>
      <c r="M46" s="11">
        <v>3</v>
      </c>
      <c r="N46" s="1">
        <f>+N$95*M46</f>
        <v>3.3417721518987342</v>
      </c>
      <c r="O46" s="11">
        <v>27</v>
      </c>
      <c r="P46" s="1">
        <f>+P$95*O46</f>
        <v>29.13419117647059</v>
      </c>
      <c r="Q46" s="11">
        <v>60</v>
      </c>
      <c r="R46" s="1">
        <f>+R$95*Q46</f>
        <v>68.36129032258064</v>
      </c>
      <c r="S46" s="11">
        <v>14</v>
      </c>
      <c r="T46" s="1">
        <f>+T$95*S46</f>
        <v>14.706140350877195</v>
      </c>
      <c r="U46" s="11">
        <v>17</v>
      </c>
      <c r="V46" s="1">
        <f>+V$95*U46</f>
        <v>17.655786350148368</v>
      </c>
      <c r="W46" s="11">
        <v>18</v>
      </c>
      <c r="X46" s="1">
        <f>+X$95*W46</f>
        <v>18.414985590778098</v>
      </c>
      <c r="Y46" s="11">
        <v>9</v>
      </c>
      <c r="Z46" s="1">
        <f>+Z$95*Y46</f>
        <v>9.310344827586208</v>
      </c>
      <c r="AA46">
        <f>+F46+H46+J46+L46+N46+P46+R46+T46+V46+X46+Z46</f>
        <v>267.41265310337207</v>
      </c>
    </row>
    <row r="47" spans="1:27" ht="12.75">
      <c r="A47" s="1" t="s">
        <v>20</v>
      </c>
      <c r="B47" s="1"/>
      <c r="C47" s="11">
        <f>+E47+G47+I47+K47+M47+O47+Q47+S47+U47+W47+Y47</f>
        <v>2162</v>
      </c>
      <c r="D47" s="1">
        <f>+H47+J47+L47+P47+R47+T47+V47+X47+Z47</f>
        <v>2299.051173152689</v>
      </c>
      <c r="E47" s="11">
        <v>0</v>
      </c>
      <c r="F47" s="1">
        <f>+F$96*E47</f>
        <v>0</v>
      </c>
      <c r="G47" s="15">
        <v>66</v>
      </c>
      <c r="H47" s="1">
        <f>+H$96*G47</f>
        <v>84.61603053435114</v>
      </c>
      <c r="I47" s="11">
        <v>23</v>
      </c>
      <c r="J47" s="1">
        <f>+J$96*I47</f>
        <v>23.321824038655123</v>
      </c>
      <c r="K47" s="15">
        <v>817</v>
      </c>
      <c r="L47" s="1">
        <f>+L$96*K47</f>
        <v>841.1448931116389</v>
      </c>
      <c r="M47" s="11">
        <v>2</v>
      </c>
      <c r="N47" s="1">
        <f>+N$96*M47</f>
        <v>2.188995215311005</v>
      </c>
      <c r="O47" s="11">
        <v>88</v>
      </c>
      <c r="P47" s="1">
        <f>+P$96*O47</f>
        <v>91.5509274324764</v>
      </c>
      <c r="Q47" s="11">
        <v>286</v>
      </c>
      <c r="R47" s="1">
        <f>+R$96*Q47</f>
        <v>318.06427221172027</v>
      </c>
      <c r="S47" s="11">
        <v>231</v>
      </c>
      <c r="T47" s="1">
        <f>+T$96*S47</f>
        <v>260.9222797927461</v>
      </c>
      <c r="U47" s="11">
        <v>232</v>
      </c>
      <c r="V47" s="1">
        <f>+V$96*U47</f>
        <v>238.6311667971809</v>
      </c>
      <c r="W47" s="11">
        <v>112</v>
      </c>
      <c r="X47" s="1">
        <f>+X$96*W47</f>
        <v>133.602523659306</v>
      </c>
      <c r="Y47" s="11">
        <v>305</v>
      </c>
      <c r="Z47" s="1">
        <f>+Z$96*Y47</f>
        <v>307.1972555746141</v>
      </c>
      <c r="AA47">
        <f>+F47+H47+J47+L47+N47+P47+R47+T47+V47+X47+Z47</f>
        <v>2301.240168368</v>
      </c>
    </row>
    <row r="48" spans="1:27" ht="12.75">
      <c r="A48" s="1" t="s">
        <v>21</v>
      </c>
      <c r="B48" s="1"/>
      <c r="C48" s="11">
        <f>+E48+G48+I48+K48+M48+O48+Q48+S48+U48+W48+Y48</f>
        <v>48707675</v>
      </c>
      <c r="D48" s="1">
        <f>+H48+J48+L48+P48+R48+T48+V48+X48+Z48</f>
        <v>51400304.926880464</v>
      </c>
      <c r="E48" s="11">
        <v>0</v>
      </c>
      <c r="F48" s="1">
        <f>+F$97*E48</f>
        <v>0</v>
      </c>
      <c r="G48" s="15">
        <v>1239409</v>
      </c>
      <c r="H48" s="1">
        <f>+H$97*G48</f>
        <v>1512048.5822284014</v>
      </c>
      <c r="I48" s="11">
        <v>363612</v>
      </c>
      <c r="J48" s="1">
        <f>+J$97*I48</f>
        <v>369084.9409038422</v>
      </c>
      <c r="K48" s="15">
        <v>18773574</v>
      </c>
      <c r="L48" s="1">
        <f>+L$97*K48</f>
        <v>19479882.87224025</v>
      </c>
      <c r="M48" s="11">
        <v>120041</v>
      </c>
      <c r="N48" s="1">
        <f>+N$97*M48</f>
        <v>130708.73264190009</v>
      </c>
      <c r="O48" s="11">
        <v>2638072</v>
      </c>
      <c r="P48" s="1">
        <f>+P$97*O48</f>
        <v>2784447.613745141</v>
      </c>
      <c r="Q48" s="11">
        <v>7766434</v>
      </c>
      <c r="R48" s="1">
        <f>+R$97*Q48</f>
        <v>8875027.566477012</v>
      </c>
      <c r="S48" s="11">
        <v>5855180</v>
      </c>
      <c r="T48" s="1">
        <f>+T$97*S48</f>
        <v>5988429.745104727</v>
      </c>
      <c r="U48" s="11">
        <v>2168622</v>
      </c>
      <c r="V48" s="1">
        <f>+V$97*U48</f>
        <v>2230390.66792163</v>
      </c>
      <c r="W48" s="11">
        <v>1354003</v>
      </c>
      <c r="X48" s="1">
        <f>+X$97*W48</f>
        <v>1676641.7794785933</v>
      </c>
      <c r="Y48" s="11">
        <v>8428728</v>
      </c>
      <c r="Z48" s="1">
        <f>+Z$97*Y48</f>
        <v>8484351.158780862</v>
      </c>
      <c r="AA48">
        <f>+F48+H48+J48+L48+N48+P48+R48+T48+V48+X48+Z48</f>
        <v>51531013.65952237</v>
      </c>
    </row>
    <row r="49" spans="1:26" ht="12.75">
      <c r="A49" s="1" t="s">
        <v>23</v>
      </c>
      <c r="B49" s="1"/>
      <c r="C49" s="11"/>
      <c r="D49" s="1">
        <f>D48/(D47*12)</f>
        <v>1863.0984790273005</v>
      </c>
      <c r="E49" s="11"/>
      <c r="F49" s="2" t="s">
        <v>32</v>
      </c>
      <c r="G49" s="15"/>
      <c r="H49" s="1">
        <f>H48/(H47*12)</f>
        <v>1489.1273878403008</v>
      </c>
      <c r="I49" s="11"/>
      <c r="J49" s="1">
        <f>J48/(J47*12)</f>
        <v>1318.8110139959342</v>
      </c>
      <c r="K49" s="15"/>
      <c r="L49" s="1">
        <f>L48/(L47*12)</f>
        <v>1929.897673968563</v>
      </c>
      <c r="M49" s="11"/>
      <c r="N49" s="1">
        <f>N48/(N47*12)</f>
        <v>4975.979075074157</v>
      </c>
      <c r="O49" s="11"/>
      <c r="P49" s="1">
        <f>P48/(P47*12)</f>
        <v>2534.516117453513</v>
      </c>
      <c r="Q49" s="11"/>
      <c r="R49" s="1">
        <f>R48/(R47*12)</f>
        <v>2325.271007010319</v>
      </c>
      <c r="S49" s="11"/>
      <c r="T49" s="1">
        <f>T48/(T47*12)</f>
        <v>1912.5841322881708</v>
      </c>
      <c r="U49" s="11"/>
      <c r="V49" s="1">
        <f>V48/(V47*12)</f>
        <v>778.8835443755829</v>
      </c>
      <c r="W49" s="11"/>
      <c r="X49" s="1">
        <f>X48/(X47*12)</f>
        <v>1045.789738569438</v>
      </c>
      <c r="Y49" s="11"/>
      <c r="Z49" s="1">
        <f>Z48/(Z47*12)</f>
        <v>2301.548110868492</v>
      </c>
    </row>
    <row r="50" spans="1:26" ht="12.75">
      <c r="A50" s="1"/>
      <c r="B50" s="1"/>
      <c r="C50" s="11"/>
      <c r="D50" s="1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 t="s">
        <v>88</v>
      </c>
      <c r="B51" s="1"/>
      <c r="C51" s="11"/>
      <c r="D51" s="1"/>
      <c r="E51" s="11"/>
      <c r="F51" s="1"/>
      <c r="G51" s="11"/>
      <c r="H51" s="1"/>
      <c r="I51" s="11"/>
      <c r="J51" s="1"/>
      <c r="K51" s="11"/>
      <c r="L51" s="1"/>
      <c r="M51" s="11"/>
      <c r="N51" s="1"/>
      <c r="O51" s="11"/>
      <c r="P51" s="1"/>
      <c r="Q51" s="11"/>
      <c r="R51" s="1"/>
      <c r="S51" s="11"/>
      <c r="T51" s="1"/>
      <c r="U51" s="11"/>
      <c r="V51" s="1"/>
      <c r="W51" s="11"/>
      <c r="X51" s="1"/>
      <c r="Y51" s="11"/>
      <c r="Z51" s="1"/>
    </row>
    <row r="52" spans="1:28" ht="12.75">
      <c r="A52" s="1" t="s">
        <v>18</v>
      </c>
      <c r="B52" s="1"/>
      <c r="C52" s="11">
        <f>+E52+G52+I52+K52+M52+O52+Q52+S52+U52+W52+Y52</f>
        <v>311</v>
      </c>
      <c r="D52" s="1">
        <f>+H52+J52+L52+P52+R52+T52+V52+X52+Z52</f>
        <v>356.87983905080154</v>
      </c>
      <c r="E52" s="11">
        <v>1</v>
      </c>
      <c r="F52" s="1">
        <f>+F$95*E52</f>
        <v>1</v>
      </c>
      <c r="G52" s="15">
        <v>58</v>
      </c>
      <c r="H52" s="1">
        <f>+H$95*G52</f>
        <v>86.37479270315092</v>
      </c>
      <c r="I52" s="11">
        <v>26</v>
      </c>
      <c r="J52" s="1">
        <f>+J$95*I52</f>
        <v>27.29078014184397</v>
      </c>
      <c r="K52" s="11">
        <v>63</v>
      </c>
      <c r="L52" s="1">
        <f>+L$95*K52</f>
        <v>69.83720930232558</v>
      </c>
      <c r="M52" s="15">
        <v>2</v>
      </c>
      <c r="N52" s="1">
        <f>+N$95*M52</f>
        <v>2.2278481012658227</v>
      </c>
      <c r="O52" s="11">
        <v>29</v>
      </c>
      <c r="P52" s="1">
        <f>+P$95*O52</f>
        <v>31.292279411764707</v>
      </c>
      <c r="Q52" s="11">
        <v>52</v>
      </c>
      <c r="R52" s="1">
        <f>+R$95*Q52</f>
        <v>59.24645161290323</v>
      </c>
      <c r="S52" s="11">
        <v>19</v>
      </c>
      <c r="T52" s="1">
        <f>+T$95*S52</f>
        <v>19.958333333333336</v>
      </c>
      <c r="U52" s="11">
        <v>18</v>
      </c>
      <c r="V52" s="1">
        <f>+V$95*U52</f>
        <v>18.694362017804156</v>
      </c>
      <c r="W52" s="11">
        <v>26</v>
      </c>
      <c r="X52" s="1">
        <f>+X$95*W52</f>
        <v>26.59942363112392</v>
      </c>
      <c r="Y52" s="11">
        <v>17</v>
      </c>
      <c r="Z52" s="1">
        <f>+Z$95*Y52</f>
        <v>17.586206896551726</v>
      </c>
      <c r="AA52">
        <f>+F52+H52+J52+L52+N52+P52+R52+T52+V52+X52+Z52</f>
        <v>360.10768715206734</v>
      </c>
      <c r="AB52" s="1"/>
    </row>
    <row r="53" spans="1:28" ht="12.75">
      <c r="A53" s="1" t="s">
        <v>20</v>
      </c>
      <c r="B53" s="1"/>
      <c r="C53" s="11">
        <f>+E53+G53+I53+K53+M53+O53+Q53+S53+U53+W53+Y53</f>
        <v>3347</v>
      </c>
      <c r="D53" s="1">
        <f>+H53+J53+L53+P53+R53+T53+V53+X53+Z53</f>
        <v>3629.4359865319316</v>
      </c>
      <c r="E53" s="11">
        <v>1</v>
      </c>
      <c r="F53" s="1">
        <f>+F$96*E53</f>
        <v>1</v>
      </c>
      <c r="G53" s="15">
        <v>570</v>
      </c>
      <c r="H53" s="1">
        <f>+H$96*G53</f>
        <v>730.7748091603053</v>
      </c>
      <c r="I53" s="11">
        <v>324</v>
      </c>
      <c r="J53" s="1">
        <f>+J$96*I53</f>
        <v>328.5335212401852</v>
      </c>
      <c r="K53" s="11">
        <v>1044</v>
      </c>
      <c r="L53" s="1">
        <f>+L$96*K53</f>
        <v>1074.8534497044689</v>
      </c>
      <c r="M53" s="15">
        <v>1</v>
      </c>
      <c r="N53" s="1">
        <f>+N$96*M53</f>
        <v>1.0944976076555024</v>
      </c>
      <c r="O53" s="11">
        <v>96</v>
      </c>
      <c r="P53" s="1">
        <f>+P$96*O53</f>
        <v>99.87373901724698</v>
      </c>
      <c r="Q53" s="11">
        <v>232</v>
      </c>
      <c r="R53" s="1">
        <f>+R$96*Q53</f>
        <v>258.01017885705977</v>
      </c>
      <c r="S53" s="11">
        <v>142</v>
      </c>
      <c r="T53" s="1">
        <f>+T$96*S53</f>
        <v>160.3937823834197</v>
      </c>
      <c r="U53" s="11">
        <v>400</v>
      </c>
      <c r="V53" s="1">
        <f>+V$96*U53</f>
        <v>411.43304620203605</v>
      </c>
      <c r="W53" s="11">
        <v>133</v>
      </c>
      <c r="X53" s="1">
        <f>+X$96*W53</f>
        <v>158.6529968454259</v>
      </c>
      <c r="Y53" s="11">
        <v>404</v>
      </c>
      <c r="Z53" s="1">
        <f>+Z$96*Y53</f>
        <v>406.9104631217839</v>
      </c>
      <c r="AA53">
        <f>+F53+H53+J53+L53+N53+P53+R53+T53+V53+X53+Z53</f>
        <v>3631.530484139587</v>
      </c>
      <c r="AB53" s="1"/>
    </row>
    <row r="54" spans="1:28" ht="12.75">
      <c r="A54" s="1" t="s">
        <v>21</v>
      </c>
      <c r="B54" s="1"/>
      <c r="C54" s="11">
        <f>+E54+G54+I54+K54+M54+O54+Q54+S54+U54+W54+Y54</f>
        <v>82061652</v>
      </c>
      <c r="D54" s="1">
        <f>+H54+J54+L54+P54+R54+T54+V54+X54+Z54</f>
        <v>88626516.48852888</v>
      </c>
      <c r="E54" s="11">
        <v>9563</v>
      </c>
      <c r="F54" s="1">
        <f>+F$97*E54</f>
        <v>9592.73530201921</v>
      </c>
      <c r="G54" s="15">
        <v>17058672</v>
      </c>
      <c r="H54" s="1">
        <f>+H$97*G54</f>
        <v>20811161.458646283</v>
      </c>
      <c r="I54" s="11">
        <v>9595531</v>
      </c>
      <c r="J54" s="1">
        <f>+J$97*I54</f>
        <v>9739959.055465678</v>
      </c>
      <c r="K54" s="11">
        <v>24796972</v>
      </c>
      <c r="L54" s="1">
        <f>+L$97*K54</f>
        <v>25729896.190582626</v>
      </c>
      <c r="M54" s="15">
        <v>127000</v>
      </c>
      <c r="N54" s="1">
        <f>+N$97*M54</f>
        <v>138286.16094102274</v>
      </c>
      <c r="O54" s="11">
        <v>2830872</v>
      </c>
      <c r="P54" s="1">
        <f>+P$97*O54</f>
        <v>2987945.281712529</v>
      </c>
      <c r="Q54" s="11">
        <v>6195486</v>
      </c>
      <c r="R54" s="1">
        <f>+R$97*Q54</f>
        <v>7079839.864437449</v>
      </c>
      <c r="S54" s="11">
        <v>3842625</v>
      </c>
      <c r="T54" s="1">
        <f>+T$97*S54</f>
        <v>3930073.857555712</v>
      </c>
      <c r="U54" s="11">
        <v>3860359</v>
      </c>
      <c r="V54" s="1">
        <f>+V$97*U54</f>
        <v>3970313.262720417</v>
      </c>
      <c r="W54" s="11">
        <v>2339598</v>
      </c>
      <c r="X54" s="1">
        <f>+X$97*W54</f>
        <v>2897089.4111641985</v>
      </c>
      <c r="Y54" s="11">
        <v>11404974</v>
      </c>
      <c r="Z54" s="1">
        <f>+Z$97*Y54</f>
        <v>11480238.106243977</v>
      </c>
      <c r="AA54">
        <f>+F54+H54+J54+L54+N54+P54+R54+T54+V54+X54+Z54</f>
        <v>88774395.38477191</v>
      </c>
      <c r="AB54" s="1"/>
    </row>
    <row r="55" spans="1:26" ht="12.75">
      <c r="A55" s="1" t="s">
        <v>23</v>
      </c>
      <c r="B55" s="1"/>
      <c r="C55" s="11"/>
      <c r="D55" s="1">
        <f>D54/(D53*12)</f>
        <v>2034.9010336914403</v>
      </c>
      <c r="E55" s="11"/>
      <c r="F55" s="2" t="s">
        <v>32</v>
      </c>
      <c r="G55" s="15"/>
      <c r="H55" s="1">
        <f>H54/(H53*12)</f>
        <v>2373.184506564944</v>
      </c>
      <c r="I55" s="11"/>
      <c r="J55" s="1">
        <f>J54/(J53*12)</f>
        <v>2470.5644999578194</v>
      </c>
      <c r="K55" s="11"/>
      <c r="L55" s="1">
        <f>L54/(L53*12)</f>
        <v>1994.8375441055914</v>
      </c>
      <c r="M55" s="15"/>
      <c r="N55" s="2" t="s">
        <v>32</v>
      </c>
      <c r="O55" s="11"/>
      <c r="P55" s="1">
        <f>P54/(P53*12)</f>
        <v>2493.10221678706</v>
      </c>
      <c r="Q55" s="11"/>
      <c r="R55" s="1">
        <f>R54/(R53*12)</f>
        <v>2286.6797658267815</v>
      </c>
      <c r="S55" s="11"/>
      <c r="T55" s="1">
        <f>T54/(T53*12)</f>
        <v>2041.8880952218535</v>
      </c>
      <c r="U55" s="11"/>
      <c r="V55" s="1">
        <f>V54/(V53*12)</f>
        <v>804.1635002686799</v>
      </c>
      <c r="W55" s="11"/>
      <c r="X55" s="1">
        <f>X54/(X53*12)</f>
        <v>1521.7116751487133</v>
      </c>
      <c r="Y55" s="11"/>
      <c r="Z55" s="1">
        <f>Z54/(Z53*12)</f>
        <v>2351.0983264329057</v>
      </c>
    </row>
    <row r="56" spans="1:26" ht="12.75">
      <c r="A56" s="1"/>
      <c r="B56" s="1"/>
      <c r="C56" s="11"/>
      <c r="D56" s="1"/>
      <c r="E56" s="11"/>
      <c r="F56" s="1"/>
      <c r="G56" s="11"/>
      <c r="H56" s="1"/>
      <c r="I56" s="11"/>
      <c r="J56" s="1"/>
      <c r="K56" s="11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1"/>
      <c r="F57" s="1"/>
      <c r="G57" s="11"/>
      <c r="H57" s="1"/>
      <c r="I57" s="11"/>
      <c r="J57" s="1"/>
      <c r="K57" s="11"/>
      <c r="L57" t="s">
        <v>196</v>
      </c>
      <c r="Z57" s="1"/>
    </row>
    <row r="58" spans="1:26" ht="12.75">
      <c r="A58" s="1"/>
      <c r="B58" s="1"/>
      <c r="C58" s="11"/>
      <c r="D58" s="1"/>
      <c r="E58" s="11"/>
      <c r="F58" s="1"/>
      <c r="G58" s="11"/>
      <c r="H58" s="1"/>
      <c r="I58" s="11"/>
      <c r="J58" s="1"/>
      <c r="K58" s="11"/>
      <c r="P58" t="s">
        <v>191</v>
      </c>
      <c r="Z58" s="1"/>
    </row>
    <row r="59" spans="1:26" ht="12.75">
      <c r="A59" s="1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1"/>
      <c r="D61" s="2"/>
      <c r="E61" s="11"/>
      <c r="F61" s="1"/>
      <c r="G61" s="11"/>
      <c r="H61" s="1"/>
      <c r="I61" s="11"/>
      <c r="J61" s="1"/>
      <c r="K61" s="11"/>
      <c r="L61" s="1"/>
      <c r="M61" s="11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1"/>
      <c r="D62" s="1"/>
      <c r="E62" s="11"/>
      <c r="F62" s="1"/>
      <c r="G62" s="11"/>
      <c r="H62" s="1"/>
      <c r="I62" s="11"/>
      <c r="J62" s="1"/>
      <c r="K62" s="11"/>
      <c r="L62" s="1" t="s">
        <v>124</v>
      </c>
      <c r="M62" s="11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1"/>
      <c r="D63" s="1"/>
      <c r="E63" s="11"/>
      <c r="F63" s="1"/>
      <c r="G63" s="11"/>
      <c r="H63" s="1"/>
      <c r="I63" s="11"/>
      <c r="J63" s="1"/>
      <c r="K63" s="11"/>
      <c r="L63" s="1" t="s">
        <v>187</v>
      </c>
      <c r="M63" s="11"/>
      <c r="N63" s="1"/>
      <c r="O63" s="11"/>
      <c r="P63" s="2" t="s">
        <v>128</v>
      </c>
      <c r="Q63" s="12"/>
      <c r="R63" s="1" t="s">
        <v>129</v>
      </c>
      <c r="S63" s="11"/>
      <c r="T63" s="2" t="s">
        <v>131</v>
      </c>
      <c r="U63" s="12"/>
      <c r="V63" s="2" t="s">
        <v>133</v>
      </c>
      <c r="W63" s="12"/>
      <c r="X63" s="2" t="s">
        <v>142</v>
      </c>
      <c r="Y63" s="12"/>
      <c r="Z63" s="1"/>
    </row>
    <row r="64" spans="1:26" ht="12.75">
      <c r="A64" s="1" t="s">
        <v>185</v>
      </c>
      <c r="B64" s="1"/>
      <c r="C64" s="11"/>
      <c r="D64" s="2" t="s">
        <v>184</v>
      </c>
      <c r="E64" s="12"/>
      <c r="F64" s="2" t="s">
        <v>7</v>
      </c>
      <c r="G64" s="12"/>
      <c r="H64" s="1" t="s">
        <v>8</v>
      </c>
      <c r="I64" s="11"/>
      <c r="J64" s="2" t="s">
        <v>9</v>
      </c>
      <c r="K64" s="12"/>
      <c r="L64" s="1" t="s">
        <v>125</v>
      </c>
      <c r="M64" s="11"/>
      <c r="N64" s="2" t="s">
        <v>126</v>
      </c>
      <c r="O64" s="12"/>
      <c r="P64" s="2" t="s">
        <v>127</v>
      </c>
      <c r="Q64" s="12"/>
      <c r="R64" s="1" t="s">
        <v>130</v>
      </c>
      <c r="S64" s="11"/>
      <c r="T64" s="2" t="s">
        <v>132</v>
      </c>
      <c r="U64" s="12"/>
      <c r="V64" s="2" t="s">
        <v>134</v>
      </c>
      <c r="W64" s="12"/>
      <c r="X64" s="2" t="s">
        <v>141</v>
      </c>
      <c r="Y64" s="12"/>
      <c r="Z64" s="2" t="s">
        <v>94</v>
      </c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 t="s">
        <v>96</v>
      </c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7" ht="12.75">
      <c r="A68" s="1" t="s">
        <v>18</v>
      </c>
      <c r="B68" s="1"/>
      <c r="C68" s="11">
        <f aca="true" t="shared" si="3" ref="C68:D70">+E68+G68+I68+K68+M68+O68+Q68+S68+U68+W68+Y68</f>
        <v>230</v>
      </c>
      <c r="D68" s="1">
        <f t="shared" si="3"/>
        <v>259.64814987012295</v>
      </c>
      <c r="E68" s="11">
        <v>0</v>
      </c>
      <c r="F68" s="1">
        <f>+F$95*E68</f>
        <v>0</v>
      </c>
      <c r="G68" s="11">
        <v>27</v>
      </c>
      <c r="H68" s="1">
        <f>+H$95*G68</f>
        <v>40.2089552238806</v>
      </c>
      <c r="I68" s="11">
        <v>7</v>
      </c>
      <c r="J68" s="1">
        <f>+J$95*I68</f>
        <v>7.347517730496453</v>
      </c>
      <c r="K68" s="11">
        <v>25</v>
      </c>
      <c r="L68" s="1">
        <f>+L$95*K68</f>
        <v>27.71317829457364</v>
      </c>
      <c r="M68" s="11">
        <v>4</v>
      </c>
      <c r="N68" s="1">
        <f>+N$95*M68</f>
        <v>4.455696202531645</v>
      </c>
      <c r="O68" s="11">
        <v>29</v>
      </c>
      <c r="P68" s="1">
        <f>+P$95*O68</f>
        <v>31.292279411764707</v>
      </c>
      <c r="Q68" s="11">
        <v>53</v>
      </c>
      <c r="R68" s="1">
        <f>+R$95*Q68</f>
        <v>60.38580645161291</v>
      </c>
      <c r="S68" s="11">
        <v>24</v>
      </c>
      <c r="T68" s="1">
        <f>+T$95*S68</f>
        <v>25.210526315789476</v>
      </c>
      <c r="U68" s="11">
        <v>11</v>
      </c>
      <c r="V68" s="1">
        <f>+V$95*U68</f>
        <v>11.424332344213651</v>
      </c>
      <c r="W68" s="11">
        <v>10</v>
      </c>
      <c r="X68" s="1">
        <f>+X$95*W68</f>
        <v>10.230547550432277</v>
      </c>
      <c r="Y68" s="11">
        <v>40</v>
      </c>
      <c r="Z68" s="1">
        <f>+Z$95*Y68</f>
        <v>41.37931034482759</v>
      </c>
      <c r="AA68">
        <f>+F68+H68+J68+L68+N68+P68+R68+T68+V68+X68+Z68</f>
        <v>259.64814987012295</v>
      </c>
    </row>
    <row r="69" spans="1:27" ht="12.75">
      <c r="A69" s="1" t="s">
        <v>20</v>
      </c>
      <c r="B69" s="1"/>
      <c r="C69" s="11">
        <f t="shared" si="3"/>
        <v>4662</v>
      </c>
      <c r="D69" s="1">
        <f t="shared" si="3"/>
        <v>4840.967301780407</v>
      </c>
      <c r="E69" s="11">
        <v>0</v>
      </c>
      <c r="F69" s="1">
        <f>+F$96*E69</f>
        <v>0</v>
      </c>
      <c r="G69" s="11">
        <v>200</v>
      </c>
      <c r="H69" s="1">
        <f>+H$96*G69</f>
        <v>256.412213740458</v>
      </c>
      <c r="I69" s="11">
        <v>205</v>
      </c>
      <c r="J69" s="1">
        <f>+J$96*I69</f>
        <v>207.86843164888262</v>
      </c>
      <c r="K69" s="11">
        <v>221</v>
      </c>
      <c r="L69" s="1">
        <f>+L$96*K69</f>
        <v>227.53123791636744</v>
      </c>
      <c r="M69" s="11">
        <v>18</v>
      </c>
      <c r="N69" s="1">
        <f>+N$96*M69</f>
        <v>19.70095693779904</v>
      </c>
      <c r="O69" s="11">
        <v>102</v>
      </c>
      <c r="P69" s="1">
        <f>+P$96*O69</f>
        <v>106.11584770582492</v>
      </c>
      <c r="Q69" s="11">
        <v>287</v>
      </c>
      <c r="R69" s="1">
        <f>+R$96*Q69</f>
        <v>319.17638505162137</v>
      </c>
      <c r="S69" s="11">
        <v>138</v>
      </c>
      <c r="T69" s="1">
        <f>+T$96*S69</f>
        <v>155.87564766839378</v>
      </c>
      <c r="U69" s="11">
        <v>1234</v>
      </c>
      <c r="V69" s="1">
        <f>+V$96*U69</f>
        <v>1269.2709475332813</v>
      </c>
      <c r="W69" s="11">
        <v>31</v>
      </c>
      <c r="X69" s="1">
        <f>+X$96*W69</f>
        <v>36.979269941415055</v>
      </c>
      <c r="Y69" s="11">
        <v>2226</v>
      </c>
      <c r="Z69" s="1">
        <f>+Z$96*Y69</f>
        <v>2242.0363636363636</v>
      </c>
      <c r="AA69">
        <f>+F69+H69+J69+L69+N69+P69+R69+T69+V69+X69+Z69</f>
        <v>4840.967301780407</v>
      </c>
    </row>
    <row r="70" spans="1:27" ht="12.75">
      <c r="A70" s="1" t="s">
        <v>21</v>
      </c>
      <c r="B70" s="1"/>
      <c r="C70" s="11">
        <f t="shared" si="3"/>
        <v>110143506</v>
      </c>
      <c r="D70" s="1">
        <f t="shared" si="3"/>
        <v>114472444.61692742</v>
      </c>
      <c r="E70" s="11">
        <v>0</v>
      </c>
      <c r="F70" s="1">
        <f>+F$97*E70</f>
        <v>0</v>
      </c>
      <c r="G70" s="11">
        <v>5134452</v>
      </c>
      <c r="H70" s="1">
        <f>+H$97*G70</f>
        <v>6263905.512320614</v>
      </c>
      <c r="I70" s="11">
        <v>7473662</v>
      </c>
      <c r="J70" s="1">
        <f>+J$97*I70</f>
        <v>7586152.540634773</v>
      </c>
      <c r="K70" s="11">
        <v>5270006</v>
      </c>
      <c r="L70" s="1">
        <f>+L$97*K70</f>
        <v>5468276.824434354</v>
      </c>
      <c r="M70" s="11">
        <v>486568</v>
      </c>
      <c r="N70" s="1">
        <f>+N$97*M70</f>
        <v>529808.0374547367</v>
      </c>
      <c r="O70" s="11">
        <v>3767155</v>
      </c>
      <c r="P70" s="1">
        <f>+P$97*O70</f>
        <v>3976178.7208074974</v>
      </c>
      <c r="Q70" s="11">
        <v>11483032</v>
      </c>
      <c r="R70" s="1">
        <f>+R$97*Q70</f>
        <v>13122138.879534373</v>
      </c>
      <c r="S70" s="11">
        <v>3893229</v>
      </c>
      <c r="T70" s="1">
        <f>+T$97*S70</f>
        <v>3981829.4822882186</v>
      </c>
      <c r="U70" s="11">
        <v>14468937</v>
      </c>
      <c r="V70" s="1">
        <f>+V$97*U70</f>
        <v>14881054.44819152</v>
      </c>
      <c r="W70" s="11">
        <v>486784</v>
      </c>
      <c r="X70" s="1">
        <f>+X$97*W70</f>
        <v>602777.3882197511</v>
      </c>
      <c r="Y70" s="11">
        <v>57679681</v>
      </c>
      <c r="Z70" s="1">
        <f>+Z$97*Y70</f>
        <v>58060322.783041574</v>
      </c>
      <c r="AA70">
        <f>+F70+H70+J70+L70+N70+P70+R70+T70+V70+X70+Z70</f>
        <v>114472444.61692742</v>
      </c>
    </row>
    <row r="71" spans="1:26" ht="12.75">
      <c r="A71" s="1" t="s">
        <v>23</v>
      </c>
      <c r="B71" s="1"/>
      <c r="C71" s="11">
        <f>C70/(C69*12)</f>
        <v>1968.8171385671385</v>
      </c>
      <c r="D71" s="1">
        <f>D70/(D69*12)</f>
        <v>1970.5504685469718</v>
      </c>
      <c r="E71" s="11"/>
      <c r="F71" s="1">
        <v>0</v>
      </c>
      <c r="G71" s="11"/>
      <c r="H71" s="1">
        <f>H70/(H69*12)</f>
        <v>2035.7537513992272</v>
      </c>
      <c r="I71" s="11"/>
      <c r="J71" s="1">
        <f>J70/(J69*12)</f>
        <v>3041.2476457900348</v>
      </c>
      <c r="K71" s="11"/>
      <c r="L71" s="1">
        <f>L70/(L69*12)</f>
        <v>2002.7568062413704</v>
      </c>
      <c r="M71" s="11"/>
      <c r="N71" s="1">
        <f>N70/(N69*12)</f>
        <v>2241.041890873102</v>
      </c>
      <c r="O71" s="11"/>
      <c r="P71" s="1">
        <f>P70/(P69*12)</f>
        <v>3122.5140626735033</v>
      </c>
      <c r="Q71" s="11"/>
      <c r="R71" s="1">
        <f>R70/(R69*12)</f>
        <v>3426.0416011594157</v>
      </c>
      <c r="S71" s="11"/>
      <c r="T71" s="1">
        <f>T70/(T69*12)</f>
        <v>2128.7425488676877</v>
      </c>
      <c r="U71" s="11"/>
      <c r="V71" s="1">
        <f>V70/(V69*12)</f>
        <v>977.0080006106108</v>
      </c>
      <c r="W71" s="11"/>
      <c r="X71" s="1">
        <f>X70/(X69*12)</f>
        <v>1358.36778546176</v>
      </c>
      <c r="Y71" s="11"/>
      <c r="Z71" s="1">
        <f>Z70/(Z69*12)</f>
        <v>2158.020409656864</v>
      </c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 t="s">
        <v>101</v>
      </c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7" ht="12.75">
      <c r="A74" s="1" t="s">
        <v>18</v>
      </c>
      <c r="B74" s="1"/>
      <c r="C74" s="11">
        <f aca="true" t="shared" si="4" ref="C74:D76">+E74+G74+I74+K74+M74+O74+Q74+S74+U74+W74+Y74</f>
        <v>244</v>
      </c>
      <c r="D74" s="1">
        <f t="shared" si="4"/>
        <v>280.8482814377722</v>
      </c>
      <c r="E74" s="11">
        <v>0</v>
      </c>
      <c r="F74" s="1">
        <f>+F$95*E74</f>
        <v>0</v>
      </c>
      <c r="G74" s="11">
        <v>39</v>
      </c>
      <c r="H74" s="1">
        <f>+H$95*G74</f>
        <v>58.07960199004975</v>
      </c>
      <c r="I74" s="11">
        <v>50</v>
      </c>
      <c r="J74" s="1">
        <f>+J$95*I74</f>
        <v>52.4822695035461</v>
      </c>
      <c r="K74" s="11">
        <v>76</v>
      </c>
      <c r="L74" s="1">
        <f>+L$95*K74</f>
        <v>84.24806201550388</v>
      </c>
      <c r="M74" s="11">
        <v>5</v>
      </c>
      <c r="N74" s="1">
        <f>+N$95*M74</f>
        <v>5.5696202531645564</v>
      </c>
      <c r="O74" s="11">
        <v>12</v>
      </c>
      <c r="P74" s="1">
        <f>+P$95*O74</f>
        <v>12.948529411764707</v>
      </c>
      <c r="Q74" s="11">
        <v>33</v>
      </c>
      <c r="R74" s="1">
        <f>+R$95*Q74</f>
        <v>37.59870967741936</v>
      </c>
      <c r="S74" s="11">
        <v>5</v>
      </c>
      <c r="T74" s="1">
        <f>+T$95*S74</f>
        <v>5.25219298245614</v>
      </c>
      <c r="U74" s="11">
        <v>6</v>
      </c>
      <c r="V74" s="1">
        <f>+V$95*U74</f>
        <v>6.231454005934719</v>
      </c>
      <c r="W74" s="11">
        <v>16</v>
      </c>
      <c r="X74" s="1">
        <f>+X$95*W74</f>
        <v>16.368876080691642</v>
      </c>
      <c r="Y74" s="11">
        <v>2</v>
      </c>
      <c r="Z74" s="1">
        <f>+Z$95*Y74</f>
        <v>2.0689655172413794</v>
      </c>
      <c r="AA74">
        <f>+F74+H74+J74+L74+N74+P74+R74+T74+V74+X74+Z74</f>
        <v>280.8482814377722</v>
      </c>
    </row>
    <row r="75" spans="1:27" ht="12.75">
      <c r="A75" s="1" t="s">
        <v>20</v>
      </c>
      <c r="B75" s="1"/>
      <c r="C75" s="11">
        <f t="shared" si="4"/>
        <v>6269</v>
      </c>
      <c r="D75" s="1">
        <f t="shared" si="4"/>
        <v>6816.438967833848</v>
      </c>
      <c r="E75" s="11">
        <v>0</v>
      </c>
      <c r="F75" s="1">
        <f>+F$96*E75</f>
        <v>0</v>
      </c>
      <c r="G75" s="11">
        <v>1293</v>
      </c>
      <c r="H75" s="1">
        <f>+H$96*G75</f>
        <v>1657.704961832061</v>
      </c>
      <c r="I75" s="11">
        <v>1857</v>
      </c>
      <c r="J75" s="1">
        <f>+J$96*I75</f>
        <v>1882.9837930340245</v>
      </c>
      <c r="K75" s="11">
        <v>2314</v>
      </c>
      <c r="L75" s="1">
        <f>+L$96*K75</f>
        <v>2382.385902889024</v>
      </c>
      <c r="M75" s="11">
        <v>58</v>
      </c>
      <c r="N75" s="1">
        <f>+N$96*M75</f>
        <v>63.48086124401914</v>
      </c>
      <c r="O75" s="11">
        <v>45</v>
      </c>
      <c r="P75" s="1">
        <f>+P$96*O75</f>
        <v>46.81581516433452</v>
      </c>
      <c r="Q75" s="11">
        <v>425</v>
      </c>
      <c r="R75" s="1">
        <f>+R$96*Q75</f>
        <v>472.6479569579759</v>
      </c>
      <c r="S75" s="11">
        <v>68</v>
      </c>
      <c r="T75" s="1">
        <f>+T$96*S75</f>
        <v>76.80829015544042</v>
      </c>
      <c r="U75" s="11">
        <v>82</v>
      </c>
      <c r="V75" s="1">
        <f>+V$96*U75</f>
        <v>84.34377447141739</v>
      </c>
      <c r="W75" s="11">
        <v>115</v>
      </c>
      <c r="X75" s="1">
        <f>+X$96*W75</f>
        <v>137.18116268589455</v>
      </c>
      <c r="Y75" s="11">
        <v>12</v>
      </c>
      <c r="Z75" s="1">
        <f>+Z$96*Y75</f>
        <v>12.086449399656948</v>
      </c>
      <c r="AA75">
        <f>+F75+H75+J75+L75+N75+P75+R75+T75+V75+X75+Z75</f>
        <v>6816.438967833848</v>
      </c>
    </row>
    <row r="76" spans="1:27" ht="12.75">
      <c r="A76" s="1" t="s">
        <v>21</v>
      </c>
      <c r="B76" s="1"/>
      <c r="C76" s="11">
        <f t="shared" si="4"/>
        <v>236621646</v>
      </c>
      <c r="D76" s="1">
        <f t="shared" si="4"/>
        <v>256937484.586313</v>
      </c>
      <c r="E76" s="11">
        <v>0</v>
      </c>
      <c r="F76" s="1">
        <f>+F$97*E76</f>
        <v>0</v>
      </c>
      <c r="G76" s="11">
        <v>60609593</v>
      </c>
      <c r="H76" s="1">
        <f>+H$97*G76</f>
        <v>73942216.94782792</v>
      </c>
      <c r="I76" s="11">
        <v>75715028</v>
      </c>
      <c r="J76" s="1">
        <f>+J$97*I76</f>
        <v>76854660.00823063</v>
      </c>
      <c r="K76" s="11">
        <v>79458301</v>
      </c>
      <c r="L76" s="1">
        <f>+L$97*K76</f>
        <v>82447721.28669855</v>
      </c>
      <c r="M76" s="11">
        <v>1449855</v>
      </c>
      <c r="N76" s="1">
        <f>+N$97*M76</f>
        <v>1578699.8572531221</v>
      </c>
      <c r="O76" s="11">
        <v>1113683</v>
      </c>
      <c r="P76" s="1">
        <f>+P$97*O76</f>
        <v>1175476.6252848783</v>
      </c>
      <c r="Q76" s="11">
        <v>11579881</v>
      </c>
      <c r="R76" s="1">
        <f>+R$97*Q76</f>
        <v>13232812.265130095</v>
      </c>
      <c r="S76" s="11">
        <v>1242171</v>
      </c>
      <c r="T76" s="1">
        <f>+T$97*S76</f>
        <v>1270439.8096909889</v>
      </c>
      <c r="U76" s="11">
        <v>1038421</v>
      </c>
      <c r="V76" s="1">
        <f>+V$97*U76</f>
        <v>1067998.2531643815</v>
      </c>
      <c r="W76" s="11">
        <v>3986487</v>
      </c>
      <c r="X76" s="1">
        <f>+X$97*W76</f>
        <v>4936407.568925829</v>
      </c>
      <c r="Y76" s="11">
        <v>428226</v>
      </c>
      <c r="Z76" s="1">
        <f>+Z$97*Y76</f>
        <v>431051.9641065761</v>
      </c>
      <c r="AA76">
        <f>+F76+H76+J76+L76+N76+P76+R76+T76+V76+X76+Z76</f>
        <v>256937484.586313</v>
      </c>
    </row>
    <row r="77" spans="1:26" ht="12.75">
      <c r="A77" s="1" t="s">
        <v>23</v>
      </c>
      <c r="B77" s="1"/>
      <c r="C77" s="11">
        <f>C76/(C75*12)</f>
        <v>3145.3932844153774</v>
      </c>
      <c r="D77" s="1">
        <f>D76/(D75*12)</f>
        <v>3141.149968465664</v>
      </c>
      <c r="E77" s="11"/>
      <c r="F77" s="1">
        <v>0</v>
      </c>
      <c r="G77" s="11"/>
      <c r="H77" s="1">
        <f>H76/(H75*12)</f>
        <v>3717.097767210061</v>
      </c>
      <c r="I77" s="11"/>
      <c r="J77" s="1">
        <f>J76/(J75*12)</f>
        <v>3401.279938987854</v>
      </c>
      <c r="K77" s="11"/>
      <c r="L77" s="1">
        <f>L76/(L75*12)</f>
        <v>2883.9338883874602</v>
      </c>
      <c r="M77" s="11"/>
      <c r="N77" s="1">
        <f>N76/(N75*12)</f>
        <v>2072.4092090063596</v>
      </c>
      <c r="O77" s="11"/>
      <c r="P77" s="1">
        <f>P76/(P75*12)</f>
        <v>2092.3780798552066</v>
      </c>
      <c r="Q77" s="11"/>
      <c r="R77" s="1">
        <f>R76/(R75*12)</f>
        <v>2333.0987454697797</v>
      </c>
      <c r="S77" s="11"/>
      <c r="T77" s="1">
        <f>T76/(T75*12)</f>
        <v>1378.3666310845074</v>
      </c>
      <c r="U77" s="11"/>
      <c r="V77" s="1">
        <f>V76/(V75*12)</f>
        <v>1055.2035996506843</v>
      </c>
      <c r="W77" s="11"/>
      <c r="X77" s="1">
        <f>X76/(X75*12)</f>
        <v>2998.7156352683687</v>
      </c>
      <c r="Y77" s="11"/>
      <c r="Z77" s="1">
        <f>Z76/(Z75*12)</f>
        <v>2972.0057413967165</v>
      </c>
    </row>
    <row r="78" spans="1:26" ht="12.75">
      <c r="A78" s="1"/>
      <c r="B78" s="1"/>
      <c r="C78" s="1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 t="s">
        <v>156</v>
      </c>
      <c r="B79" s="1"/>
      <c r="C79" s="1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7" ht="12.75">
      <c r="A80" s="1" t="s">
        <v>18</v>
      </c>
      <c r="B80" s="1"/>
      <c r="C80" s="11">
        <f aca="true" t="shared" si="5" ref="C80:D82">+E80+G80+I80+K80+M80+O80+Q80+S80+U80+W80+Y80</f>
        <v>117</v>
      </c>
      <c r="D80" s="1">
        <f t="shared" si="5"/>
        <v>130.92259970097155</v>
      </c>
      <c r="E80" s="11">
        <v>0</v>
      </c>
      <c r="F80" s="1">
        <f>+F$95*E80</f>
        <v>0</v>
      </c>
      <c r="G80" s="15">
        <v>12</v>
      </c>
      <c r="H80" s="1">
        <f>+H$95*G80</f>
        <v>17.870646766169155</v>
      </c>
      <c r="I80" s="11">
        <v>9</v>
      </c>
      <c r="J80" s="1">
        <f>+J$95*I80</f>
        <v>9.446808510638297</v>
      </c>
      <c r="K80" s="11">
        <v>36</v>
      </c>
      <c r="L80" s="1">
        <f>+L$95*K80</f>
        <v>39.906976744186046</v>
      </c>
      <c r="M80" s="11">
        <v>3</v>
      </c>
      <c r="N80" s="1">
        <f>+N$95*M80</f>
        <v>3.3417721518987342</v>
      </c>
      <c r="O80" s="11">
        <v>5</v>
      </c>
      <c r="P80" s="1">
        <f>+P$95*O80</f>
        <v>5.395220588235294</v>
      </c>
      <c r="Q80" s="11">
        <v>12</v>
      </c>
      <c r="R80" s="1">
        <f>+R$95*Q80</f>
        <v>13.672258064516129</v>
      </c>
      <c r="S80" s="11">
        <v>2</v>
      </c>
      <c r="T80" s="1">
        <f>+T$95*S80</f>
        <v>2.1008771929824563</v>
      </c>
      <c r="U80" s="11">
        <v>12</v>
      </c>
      <c r="V80" s="1">
        <f>+V$95*U80</f>
        <v>12.462908011869438</v>
      </c>
      <c r="W80" s="11">
        <v>15</v>
      </c>
      <c r="X80" s="1">
        <f>+X$95*W80</f>
        <v>15.345821325648414</v>
      </c>
      <c r="Y80" s="11">
        <v>11</v>
      </c>
      <c r="Z80" s="1">
        <f>+Z$95*Y80</f>
        <v>11.379310344827587</v>
      </c>
      <c r="AA80">
        <f>+F80+H80+J80+L80+N80+P80+R80+T80+V80+X80+Z80</f>
        <v>130.92259970097155</v>
      </c>
    </row>
    <row r="81" spans="1:27" ht="12.75">
      <c r="A81" s="1" t="s">
        <v>20</v>
      </c>
      <c r="B81" s="1"/>
      <c r="C81" s="11">
        <f t="shared" si="5"/>
        <v>1790</v>
      </c>
      <c r="D81" s="1">
        <f t="shared" si="5"/>
        <v>1889.9152654198774</v>
      </c>
      <c r="E81" s="11">
        <v>0</v>
      </c>
      <c r="F81" s="1">
        <f>+F$96*E81</f>
        <v>0</v>
      </c>
      <c r="G81" s="15">
        <v>85</v>
      </c>
      <c r="H81" s="1">
        <f>+H$96*G81</f>
        <v>108.97519083969465</v>
      </c>
      <c r="I81" s="11">
        <v>334</v>
      </c>
      <c r="J81" s="1">
        <f>+J$96*I81</f>
        <v>338.67344473525264</v>
      </c>
      <c r="K81" s="11">
        <v>626</v>
      </c>
      <c r="L81" s="1">
        <f>+L$96*K81</f>
        <v>644.5002485775838</v>
      </c>
      <c r="M81" s="11">
        <v>54</v>
      </c>
      <c r="N81" s="1">
        <f>+N$96*M81</f>
        <v>59.10287081339713</v>
      </c>
      <c r="O81" s="11">
        <v>31</v>
      </c>
      <c r="P81" s="1">
        <f>+P$96*O81</f>
        <v>32.250894890986004</v>
      </c>
      <c r="Q81" s="11">
        <v>71</v>
      </c>
      <c r="R81" s="1">
        <f>+R$96*Q81</f>
        <v>78.9600116329795</v>
      </c>
      <c r="S81" s="11">
        <v>29</v>
      </c>
      <c r="T81" s="1">
        <f>+T$96*S81</f>
        <v>32.75647668393783</v>
      </c>
      <c r="U81" s="11">
        <v>227</v>
      </c>
      <c r="V81" s="1">
        <f>+V$96*U81</f>
        <v>233.48825371965546</v>
      </c>
      <c r="W81" s="11">
        <v>139</v>
      </c>
      <c r="X81" s="1">
        <f>+X$96*W81</f>
        <v>165.81027489860298</v>
      </c>
      <c r="Y81" s="11">
        <v>194</v>
      </c>
      <c r="Z81" s="1">
        <f>+Z$96*Y81</f>
        <v>195.39759862778732</v>
      </c>
      <c r="AA81">
        <f>+F81+H81+J81+L81+N81+P81+R81+T81+V81+X81+Z81</f>
        <v>1889.9152654198774</v>
      </c>
    </row>
    <row r="82" spans="1:27" ht="12.75">
      <c r="A82" s="1" t="s">
        <v>21</v>
      </c>
      <c r="B82" s="1"/>
      <c r="C82" s="11">
        <f t="shared" si="5"/>
        <v>44772568</v>
      </c>
      <c r="D82" s="1">
        <f t="shared" si="5"/>
        <v>47218392.668188274</v>
      </c>
      <c r="E82" s="11">
        <v>0</v>
      </c>
      <c r="F82" s="1">
        <f>+F$97*E82</f>
        <v>0</v>
      </c>
      <c r="G82" s="15">
        <v>2512481</v>
      </c>
      <c r="H82" s="1">
        <f>+H$97*G82</f>
        <v>3065165.1988373464</v>
      </c>
      <c r="I82" s="11">
        <v>16969032</v>
      </c>
      <c r="J82" s="1">
        <f>+J$97*I82</f>
        <v>17224443.013199255</v>
      </c>
      <c r="K82" s="11">
        <v>11853632</v>
      </c>
      <c r="L82" s="1">
        <f>+L$97*K82</f>
        <v>12299595.32322609</v>
      </c>
      <c r="M82" s="11">
        <v>517329</v>
      </c>
      <c r="N82" s="1">
        <f>+N$97*M82</f>
        <v>563302.6878225068</v>
      </c>
      <c r="O82" s="11">
        <v>903820</v>
      </c>
      <c r="P82" s="1">
        <f>+P$97*O82</f>
        <v>953969.2026052106</v>
      </c>
      <c r="Q82" s="11">
        <v>1607314</v>
      </c>
      <c r="R82" s="1">
        <f>+R$97*Q82</f>
        <v>1836744.6447088113</v>
      </c>
      <c r="S82" s="11">
        <v>213775</v>
      </c>
      <c r="T82" s="1">
        <f>+T$97*S82</f>
        <v>218640.0023158576</v>
      </c>
      <c r="U82" s="11">
        <v>2324385</v>
      </c>
      <c r="V82" s="1">
        <f>+V$97*U82</f>
        <v>2390590.251623851</v>
      </c>
      <c r="W82" s="11">
        <f>18115+3189681</f>
        <v>3207796</v>
      </c>
      <c r="X82" s="1">
        <f>+X$97*W82</f>
        <v>3972166.0835643006</v>
      </c>
      <c r="Y82" s="11">
        <v>4663004</v>
      </c>
      <c r="Z82" s="1">
        <f>+Z$97*Y82</f>
        <v>4693776.2602850385</v>
      </c>
      <c r="AA82">
        <f>+F82+H82+J82+L82+N82+P82+R82+T82+V82+X82+Z82</f>
        <v>47218392.668188274</v>
      </c>
    </row>
    <row r="83" spans="1:26" ht="12.75">
      <c r="A83" s="1" t="s">
        <v>23</v>
      </c>
      <c r="B83" s="1"/>
      <c r="C83" s="11"/>
      <c r="D83" s="1">
        <f>D82/(D81*12)</f>
        <v>2082.033056020719</v>
      </c>
      <c r="E83" s="11"/>
      <c r="F83" s="1">
        <v>0</v>
      </c>
      <c r="G83" s="15"/>
      <c r="H83" s="1">
        <f>H82/(H81*12)</f>
        <v>2343.931965324019</v>
      </c>
      <c r="I83" s="11"/>
      <c r="J83" s="1">
        <f>J82/(J81*12)</f>
        <v>4238.213162009184</v>
      </c>
      <c r="K83" s="11"/>
      <c r="L83" s="1">
        <f>L82/(L81*12)</f>
        <v>1590.327201886446</v>
      </c>
      <c r="M83" s="11"/>
      <c r="N83" s="1">
        <f>N82/(N81*12)</f>
        <v>794.2404489975303</v>
      </c>
      <c r="O83" s="11"/>
      <c r="P83" s="1">
        <f>P82/(P81*12)</f>
        <v>2464.9682999231577</v>
      </c>
      <c r="Q83" s="11"/>
      <c r="R83" s="1">
        <f>R82/(R81*12)</f>
        <v>1938.475572131303</v>
      </c>
      <c r="S83" s="11"/>
      <c r="T83" s="1">
        <f>T82/(T81*12)</f>
        <v>556.2258837783469</v>
      </c>
      <c r="U83" s="11"/>
      <c r="V83" s="1">
        <f>V82/(V81*12)</f>
        <v>853.2157448107943</v>
      </c>
      <c r="W83" s="11"/>
      <c r="X83" s="1">
        <f>X82/(X81*12)</f>
        <v>1996.3409414733078</v>
      </c>
      <c r="Y83" s="11"/>
      <c r="Z83" s="1">
        <f>Z82/(Z81*12)</f>
        <v>2001.805674365105</v>
      </c>
    </row>
    <row r="84" spans="1:26" ht="12.75">
      <c r="A84" s="1"/>
      <c r="B84" s="1"/>
      <c r="C84" s="11"/>
      <c r="D84" s="1"/>
      <c r="E84" s="11"/>
      <c r="F84" s="3"/>
      <c r="G84" s="15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 t="s">
        <v>105</v>
      </c>
      <c r="B85" s="1"/>
      <c r="C85" s="11"/>
      <c r="D85" s="1"/>
      <c r="E85" s="11"/>
      <c r="F85" s="1"/>
      <c r="G85" s="11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7" ht="12.75">
      <c r="A86" s="1" t="s">
        <v>18</v>
      </c>
      <c r="B86" s="1"/>
      <c r="C86" s="11">
        <f>+E86+G86+I86+K86+M86+O86+Q86+S86+U86+W86+Y86</f>
        <v>288</v>
      </c>
      <c r="D86" s="1">
        <f>+H86+J86+L86+N86+P86+R86+T86+V86+X86+Z86</f>
        <v>325.16273042059754</v>
      </c>
      <c r="E86" s="11">
        <v>1</v>
      </c>
      <c r="F86" s="1">
        <f>+F$95*E86</f>
        <v>1</v>
      </c>
      <c r="G86" s="15">
        <v>37</v>
      </c>
      <c r="H86" s="1">
        <f>+H$95*G86</f>
        <v>55.101160862354895</v>
      </c>
      <c r="I86" s="11">
        <v>36</v>
      </c>
      <c r="J86" s="1">
        <f>+J$95*I86</f>
        <v>37.78723404255319</v>
      </c>
      <c r="K86" s="11">
        <v>70</v>
      </c>
      <c r="L86" s="1">
        <f>+L$95*K86</f>
        <v>77.5968992248062</v>
      </c>
      <c r="M86" s="11">
        <v>6</v>
      </c>
      <c r="N86" s="1">
        <f>+N$95*M86</f>
        <v>6.6835443037974684</v>
      </c>
      <c r="O86" s="11">
        <v>29</v>
      </c>
      <c r="P86" s="1">
        <f>+P$95*O86</f>
        <v>31.292279411764707</v>
      </c>
      <c r="Q86" s="11">
        <v>38</v>
      </c>
      <c r="R86" s="1">
        <f>+R$95*Q86</f>
        <v>43.29548387096774</v>
      </c>
      <c r="S86" s="11">
        <v>11</v>
      </c>
      <c r="T86" s="1">
        <f>+T$95*S86</f>
        <v>11.55482456140351</v>
      </c>
      <c r="U86" s="11">
        <v>25</v>
      </c>
      <c r="V86" s="1">
        <f>+V$95*U86</f>
        <v>25.96439169139466</v>
      </c>
      <c r="W86" s="11">
        <v>28</v>
      </c>
      <c r="X86" s="1">
        <f>+X$95*W86</f>
        <v>28.64553314121037</v>
      </c>
      <c r="Y86" s="11">
        <v>7</v>
      </c>
      <c r="Z86" s="1">
        <f>+Z$95*Y86</f>
        <v>7.241379310344828</v>
      </c>
      <c r="AA86">
        <f>+F86+H86+J86+L86+N86+P86+R86+T86+V86+X86+Z86</f>
        <v>326.16273042059754</v>
      </c>
    </row>
    <row r="87" spans="1:27" ht="12.75">
      <c r="A87" s="1" t="s">
        <v>20</v>
      </c>
      <c r="B87" s="1"/>
      <c r="C87" s="11">
        <f>+E87+G87+I87+K87+M87+O87+Q87+S87+U87+W87+Y87</f>
        <v>3608</v>
      </c>
      <c r="D87" s="1">
        <f>+H87+J87+L87+N87+P87+R87+T87+V87+X87+Z87</f>
        <v>3851.540251429924</v>
      </c>
      <c r="E87" s="11">
        <v>35</v>
      </c>
      <c r="F87" s="1">
        <f>+F$96*E87</f>
        <v>35</v>
      </c>
      <c r="G87" s="15">
        <v>389</v>
      </c>
      <c r="H87" s="1">
        <f>+H$96*G87</f>
        <v>498.7217557251908</v>
      </c>
      <c r="I87" s="11">
        <v>445</v>
      </c>
      <c r="J87" s="1">
        <f>+J$96*I87</f>
        <v>451.2265955305013</v>
      </c>
      <c r="K87" s="11">
        <v>1019</v>
      </c>
      <c r="L87" s="1">
        <f>+L$96*K87</f>
        <v>1049.1146218858753</v>
      </c>
      <c r="M87" s="11">
        <v>118</v>
      </c>
      <c r="N87" s="1">
        <f>+N$96*M87</f>
        <v>129.15071770334927</v>
      </c>
      <c r="O87" s="11">
        <v>134</v>
      </c>
      <c r="P87" s="1">
        <f>+P$96*O87</f>
        <v>139.40709404490724</v>
      </c>
      <c r="Q87" s="11">
        <v>300</v>
      </c>
      <c r="R87" s="1">
        <f>+R$96*Q87</f>
        <v>333.6338519703359</v>
      </c>
      <c r="S87" s="11">
        <v>310</v>
      </c>
      <c r="T87" s="1">
        <f>+T$96*S87</f>
        <v>350.1554404145078</v>
      </c>
      <c r="U87" s="11">
        <v>483</v>
      </c>
      <c r="V87" s="1">
        <f>+V$96*U87</f>
        <v>496.80540328895853</v>
      </c>
      <c r="W87" s="11">
        <v>138</v>
      </c>
      <c r="X87" s="1">
        <f>+X$96*W87</f>
        <v>164.61739522307346</v>
      </c>
      <c r="Y87" s="11">
        <v>237</v>
      </c>
      <c r="Z87" s="1">
        <f>+Z$96*Y87</f>
        <v>238.7073756432247</v>
      </c>
      <c r="AA87">
        <f>+F87+H87+J87+L87+N87+P87+R87+T87+V87+X87+Z87</f>
        <v>3886.540251429924</v>
      </c>
    </row>
    <row r="88" spans="1:27" ht="12.75">
      <c r="A88" s="1" t="s">
        <v>21</v>
      </c>
      <c r="B88" s="1"/>
      <c r="C88" s="11">
        <f>+E88+G88+I88+K88+M88+O88+Q88+S88+U88+W88+Y88</f>
        <v>102685482</v>
      </c>
      <c r="D88" s="1">
        <f>+H88+J88+L88+N88+P88+R88+T88+V88+X88+Z88</f>
        <v>108576439.51055908</v>
      </c>
      <c r="E88" s="11">
        <v>1433729</v>
      </c>
      <c r="F88" s="1">
        <f>+F$97*E88</f>
        <v>1438187.0534172016</v>
      </c>
      <c r="G88" s="15">
        <v>12801752</v>
      </c>
      <c r="H88" s="1">
        <f>+H$97*G88</f>
        <v>15617823.463957097</v>
      </c>
      <c r="I88" s="11">
        <v>14433544</v>
      </c>
      <c r="J88" s="1">
        <f>+J$97*I88</f>
        <v>14650791.87230621</v>
      </c>
      <c r="K88" s="11">
        <v>34398443</v>
      </c>
      <c r="L88" s="1">
        <f>+L$97*K88</f>
        <v>35692598.57645819</v>
      </c>
      <c r="M88" s="11">
        <v>3285305</v>
      </c>
      <c r="N88" s="1">
        <f>+N$97*M88</f>
        <v>3577261.543073596</v>
      </c>
      <c r="O88" s="11">
        <v>5124977</v>
      </c>
      <c r="P88" s="1">
        <f>+P$97*O88</f>
        <v>5409340.601071059</v>
      </c>
      <c r="Q88" s="11">
        <v>9460451</v>
      </c>
      <c r="R88" s="1">
        <f>+R$97*Q88</f>
        <v>10810851.340049373</v>
      </c>
      <c r="S88" s="11">
        <v>6556658</v>
      </c>
      <c r="T88" s="1">
        <f>+T$97*S88</f>
        <v>6705871.688945322</v>
      </c>
      <c r="U88" s="11">
        <v>5016420</v>
      </c>
      <c r="V88" s="1">
        <f>+V$97*U88</f>
        <v>5159302.245562124</v>
      </c>
      <c r="W88" s="11">
        <v>3069903</v>
      </c>
      <c r="X88" s="1">
        <f>+X$97*W88</f>
        <v>3801415.232275462</v>
      </c>
      <c r="Y88" s="11">
        <v>7104300</v>
      </c>
      <c r="Z88" s="1">
        <f>+Z$97*Y88</f>
        <v>7151182.94686065</v>
      </c>
      <c r="AA88">
        <f>+F88+H88+J88+L88+N88+P88+R88+T88+V88+X88+Z88</f>
        <v>110014626.56397629</v>
      </c>
    </row>
    <row r="89" spans="1:26" ht="12.75">
      <c r="A89" s="1" t="s">
        <v>23</v>
      </c>
      <c r="B89" s="1"/>
      <c r="C89" s="11"/>
      <c r="D89" s="1">
        <f>D88/(D87*12)</f>
        <v>2349.199550107453</v>
      </c>
      <c r="E89" s="11"/>
      <c r="F89" s="2" t="s">
        <v>32</v>
      </c>
      <c r="G89" s="15"/>
      <c r="H89" s="1">
        <f>H88/(H87*12)</f>
        <v>2609.6420974669595</v>
      </c>
      <c r="I89" s="11"/>
      <c r="J89" s="1">
        <f>J88/(J87*12)</f>
        <v>2705.7344021506283</v>
      </c>
      <c r="K89" s="11"/>
      <c r="L89" s="1">
        <f>L88/(L87*12)</f>
        <v>2835.13655482004</v>
      </c>
      <c r="M89" s="11"/>
      <c r="N89" s="1">
        <f>N88/(N87*12)</f>
        <v>2308.195679362729</v>
      </c>
      <c r="O89" s="11"/>
      <c r="P89" s="1">
        <f>P88/(P87*12)</f>
        <v>3233.5397743631247</v>
      </c>
      <c r="Q89" s="11"/>
      <c r="R89" s="1">
        <f>R88/(R87*12)</f>
        <v>2700.2783830747157</v>
      </c>
      <c r="S89" s="11"/>
      <c r="T89" s="1">
        <f>T88/(T87*12)</f>
        <v>1595.927340394652</v>
      </c>
      <c r="U89" s="11"/>
      <c r="V89" s="1">
        <f>V88/(V87*12)</f>
        <v>865.4129986319316</v>
      </c>
      <c r="W89" s="11"/>
      <c r="X89" s="1">
        <f>X88/(X87*12)</f>
        <v>1924.3689420571027</v>
      </c>
      <c r="Y89" s="11"/>
      <c r="Z89" s="1">
        <f>Z88/(Z87*12)</f>
        <v>2496.495596889622</v>
      </c>
    </row>
    <row r="90" spans="1:26" ht="12.75">
      <c r="A90" s="1"/>
      <c r="B90" s="1"/>
      <c r="C90" s="11"/>
      <c r="D90" s="1"/>
      <c r="E90" s="11"/>
      <c r="F90" s="1"/>
      <c r="G90" s="11"/>
      <c r="H90" s="1"/>
      <c r="I90" s="11"/>
      <c r="J90" s="1"/>
      <c r="K90" s="11"/>
      <c r="L90" s="1"/>
      <c r="M90" s="11"/>
      <c r="N90" s="1"/>
      <c r="O90" s="11"/>
      <c r="P90" s="1"/>
      <c r="Q90" s="11"/>
      <c r="R90" s="1"/>
      <c r="S90" s="11"/>
      <c r="T90" s="1"/>
      <c r="U90" s="11"/>
      <c r="V90" s="1"/>
      <c r="W90" s="11"/>
      <c r="X90" s="1"/>
      <c r="Y90" s="11"/>
      <c r="Z90" s="1"/>
    </row>
    <row r="91" spans="1:26" ht="12.75">
      <c r="A91" s="1" t="s">
        <v>183</v>
      </c>
      <c r="B91" s="1"/>
      <c r="C91" s="11"/>
      <c r="D91" s="1"/>
      <c r="E91" s="11"/>
      <c r="F91" s="1"/>
      <c r="G91" s="11"/>
      <c r="H91" s="1"/>
      <c r="I91" s="11"/>
      <c r="J91" s="1"/>
      <c r="K91" s="11"/>
      <c r="L91" s="1"/>
      <c r="M91" s="11"/>
      <c r="N91" s="1"/>
      <c r="O91" s="11"/>
      <c r="P91" s="1"/>
      <c r="Q91" s="11"/>
      <c r="R91" s="1"/>
      <c r="S91" s="11"/>
      <c r="T91" s="1"/>
      <c r="U91" s="11"/>
      <c r="V91" s="1"/>
      <c r="W91" s="11"/>
      <c r="X91" s="1"/>
      <c r="Y91" s="11"/>
      <c r="Z91" s="1"/>
    </row>
    <row r="92" spans="1:26" ht="12.75">
      <c r="A92" s="1"/>
      <c r="B92" s="1"/>
      <c r="C92" s="11"/>
      <c r="D92" s="1"/>
      <c r="E92" s="11"/>
      <c r="F92" s="1"/>
      <c r="G92" s="11"/>
      <c r="H92" s="1"/>
      <c r="I92" s="11"/>
      <c r="J92" s="1"/>
      <c r="K92" s="11"/>
      <c r="L92" s="1"/>
      <c r="M92" s="11"/>
      <c r="N92" s="1"/>
      <c r="O92" s="11"/>
      <c r="P92" s="1"/>
      <c r="Q92" s="11"/>
      <c r="R92" s="1"/>
      <c r="S92" s="11"/>
      <c r="T92" s="1"/>
      <c r="U92" s="11"/>
      <c r="V92" s="1"/>
      <c r="W92" s="11"/>
      <c r="X92" s="1"/>
      <c r="Y92" s="11"/>
      <c r="Z92" s="1"/>
    </row>
    <row r="93" spans="1:26" ht="12.75">
      <c r="A93" s="1"/>
      <c r="B93" s="1"/>
      <c r="C93" s="11"/>
      <c r="D93" s="1"/>
      <c r="E93" s="11"/>
      <c r="F93" s="1"/>
      <c r="G93" s="11"/>
      <c r="H93" s="1"/>
      <c r="I93" s="11"/>
      <c r="J93" s="1"/>
      <c r="K93" s="11"/>
      <c r="L93" s="1"/>
      <c r="M93" s="11"/>
      <c r="N93" s="1"/>
      <c r="O93" s="11"/>
      <c r="P93" s="1"/>
      <c r="Q93" s="11"/>
      <c r="R93" s="1"/>
      <c r="S93" s="11"/>
      <c r="T93" s="1"/>
      <c r="U93" s="11"/>
      <c r="V93" s="1"/>
      <c r="W93" s="11"/>
      <c r="X93" s="1"/>
      <c r="Y93" s="11"/>
      <c r="Z93" s="1"/>
    </row>
    <row r="94" spans="5:26" ht="12.75">
      <c r="E94" s="10" t="s">
        <v>178</v>
      </c>
      <c r="F94" t="s">
        <v>179</v>
      </c>
      <c r="G94" s="10" t="s">
        <v>178</v>
      </c>
      <c r="H94" t="s">
        <v>179</v>
      </c>
      <c r="I94" s="10" t="s">
        <v>178</v>
      </c>
      <c r="J94" t="s">
        <v>179</v>
      </c>
      <c r="K94" s="10" t="s">
        <v>178</v>
      </c>
      <c r="L94" t="s">
        <v>179</v>
      </c>
      <c r="M94" s="10" t="s">
        <v>178</v>
      </c>
      <c r="N94" t="s">
        <v>179</v>
      </c>
      <c r="O94" s="10" t="s">
        <v>178</v>
      </c>
      <c r="P94" t="s">
        <v>179</v>
      </c>
      <c r="Q94" s="10" t="s">
        <v>178</v>
      </c>
      <c r="R94" t="s">
        <v>179</v>
      </c>
      <c r="S94" s="10" t="s">
        <v>178</v>
      </c>
      <c r="T94" t="s">
        <v>179</v>
      </c>
      <c r="U94" s="10" t="s">
        <v>178</v>
      </c>
      <c r="V94" t="s">
        <v>179</v>
      </c>
      <c r="W94" s="10" t="s">
        <v>178</v>
      </c>
      <c r="X94" t="s">
        <v>179</v>
      </c>
      <c r="Y94" s="10" t="s">
        <v>178</v>
      </c>
      <c r="Z94" t="s">
        <v>179</v>
      </c>
    </row>
    <row r="95" spans="1:26" ht="12.75">
      <c r="A95" t="s">
        <v>143</v>
      </c>
      <c r="E95" s="10">
        <f>+E16+E22+E28+E34+E40+E52+E68+E74+E80+E86</f>
        <v>5</v>
      </c>
      <c r="F95" s="4">
        <f>F10/E10</f>
        <v>1</v>
      </c>
      <c r="G95" s="10">
        <f>+G16+G22+G28+G34+G40+G52+G68+G74+G80+G86</f>
        <v>603</v>
      </c>
      <c r="H95" s="4">
        <f>H10/G10</f>
        <v>1.4892205638474296</v>
      </c>
      <c r="I95" s="10">
        <f>+I16+I22+I28+I34+I40+I52+I68+I74+I80+I86</f>
        <v>282</v>
      </c>
      <c r="J95" s="4">
        <f>J10/I10</f>
        <v>1.049645390070922</v>
      </c>
      <c r="K95" s="10">
        <f>+K16+K22+K28+K34+K40+K52+K68+K74+K80+K86</f>
        <v>1032</v>
      </c>
      <c r="L95" s="4">
        <f>L10/K10</f>
        <v>1.1085271317829457</v>
      </c>
      <c r="M95" s="10">
        <f>+M16+M22+M28+M34+M40+M52+M68+M74+M80+M86</f>
        <v>79</v>
      </c>
      <c r="N95" s="4">
        <f>N10/M10</f>
        <v>1.1139240506329113</v>
      </c>
      <c r="O95" s="10">
        <f>+O16+O22+O28+O34+O40+O52+O68+O74+O80+O86</f>
        <v>544</v>
      </c>
      <c r="P95" s="4">
        <f>P10/O10</f>
        <v>1.0790441176470589</v>
      </c>
      <c r="Q95" s="10">
        <f>+Q16+Q22+Q28+Q34+Q40+Q52+Q68+Q74+Q80+Q86</f>
        <v>775</v>
      </c>
      <c r="R95" s="4">
        <f>R10/Q10</f>
        <v>1.1393548387096775</v>
      </c>
      <c r="S95" s="10">
        <f>+S16+S22+S28+S34+S40+S52+S68+S74+S80+S86</f>
        <v>456</v>
      </c>
      <c r="T95" s="4">
        <f>T10/S10</f>
        <v>1.0504385964912282</v>
      </c>
      <c r="U95" s="10">
        <f>+U16+U22+U28+U34+U40+U52+U68+U74+U80+U86</f>
        <v>337</v>
      </c>
      <c r="V95" s="4">
        <f>V10/U10</f>
        <v>1.0385756676557865</v>
      </c>
      <c r="W95" s="10">
        <f>+W16+W22+W28+W34+W40+W52+W68+W74+W80+W86</f>
        <v>347</v>
      </c>
      <c r="X95" s="4">
        <f>X10/W10</f>
        <v>1.0230547550432276</v>
      </c>
      <c r="Y95" s="10">
        <f>+Y16+Y22+Y28+Y34+Y40+Y52+Y68+Y74+Y80+Y86</f>
        <v>261</v>
      </c>
      <c r="Z95" s="4">
        <f>Z10/Y10</f>
        <v>1.0344827586206897</v>
      </c>
    </row>
    <row r="96" spans="5:26" ht="12.75">
      <c r="E96" s="10">
        <f>+E17+E23+E29+E35+E41+E53+E69+E75+E81+E87</f>
        <v>59</v>
      </c>
      <c r="F96" s="4">
        <f aca="true" t="shared" si="6" ref="F96:H97">F11/E11</f>
        <v>1</v>
      </c>
      <c r="G96" s="10">
        <f>+G17+G23+G29+G35+G41+G53+G69+G75+G81+G87</f>
        <v>5240</v>
      </c>
      <c r="H96" s="4">
        <f t="shared" si="6"/>
        <v>1.28206106870229</v>
      </c>
      <c r="I96" s="10">
        <f>+I17+I23+I29+I35+I41+I53+I69+I75+I81+I87</f>
        <v>9934</v>
      </c>
      <c r="J96" s="4">
        <f>J11/I11</f>
        <v>1.0139923495067444</v>
      </c>
      <c r="K96" s="10">
        <f>+K17+K23+K29+K35+K41+K53+K69+K75+K81+K87</f>
        <v>18103</v>
      </c>
      <c r="L96" s="4">
        <f>L11/K11</f>
        <v>1.029553112743744</v>
      </c>
      <c r="M96" s="10">
        <f>+M17+M23+M29+M35+M41+M53+M69+M75+M81+M87</f>
        <v>836</v>
      </c>
      <c r="N96" s="4">
        <f>N11/M11</f>
        <v>1.0944976076555024</v>
      </c>
      <c r="O96" s="10">
        <f>+O17+O23+O29+O35+O41+O53+O69+O75+O81+O87</f>
        <v>3073</v>
      </c>
      <c r="P96" s="4">
        <f>P11/O11</f>
        <v>1.0403514480963227</v>
      </c>
      <c r="Q96" s="10">
        <f>+Q17+Q23+Q29+Q35+Q41+Q53+Q69+Q75+Q81+Q87</f>
        <v>6877</v>
      </c>
      <c r="R96" s="4">
        <f>R11/Q11</f>
        <v>1.1121128399011198</v>
      </c>
      <c r="S96" s="10">
        <f>+S17+S23+S29+S35+S41+S53+S69+S75+S81+S87</f>
        <v>6755</v>
      </c>
      <c r="T96" s="4">
        <f>T11/S11</f>
        <v>1.1295336787564767</v>
      </c>
      <c r="U96" s="10">
        <f>+U17+U23+U29+U35+U41+U53+U69+U75+U81+U87</f>
        <v>7662</v>
      </c>
      <c r="V96" s="4">
        <f>V11/U11</f>
        <v>1.0285826155050901</v>
      </c>
      <c r="W96" s="10">
        <f>+W17+W23+W29+W35+W41+W53+W69+W75+W81+W87</f>
        <v>2219</v>
      </c>
      <c r="X96" s="4">
        <f>X11/W11</f>
        <v>1.192879675529518</v>
      </c>
      <c r="Y96" s="10">
        <f>+Y17+Y23+Y29+Y35+Y41+Y53+Y69+Y75+Y81+Y87</f>
        <v>23320</v>
      </c>
      <c r="Z96" s="4">
        <f>Z11/Y11</f>
        <v>1.007204116638079</v>
      </c>
    </row>
    <row r="97" spans="5:26" ht="12.75">
      <c r="E97" s="10">
        <f>+E18+E24+E30+E36+E42+E54+E70+E76+E82+E88</f>
        <v>2412032</v>
      </c>
      <c r="F97" s="4">
        <f t="shared" si="6"/>
        <v>1.0031094114837613</v>
      </c>
      <c r="G97" s="10">
        <f>+G18+G24+G30+G36+G42+G54+G70+G76+G82+G88</f>
        <v>174822485</v>
      </c>
      <c r="H97" s="4">
        <f t="shared" si="6"/>
        <v>1.2199754739786475</v>
      </c>
      <c r="I97" s="10">
        <f>+I18+I24+I30+I36+I42+I54+I70+I76+I82+I88</f>
        <v>346270058</v>
      </c>
      <c r="J97" s="4">
        <f>J12/I12</f>
        <v>1.0150515959424942</v>
      </c>
      <c r="K97" s="10">
        <f>+K18+K24+K30+K36+K42+K54+K70+K76+K82+K88</f>
        <v>456666807</v>
      </c>
      <c r="L97" s="4">
        <f>L12/K12</f>
        <v>1.037622504497026</v>
      </c>
      <c r="M97" s="10">
        <f>+M18+M24+M30+M36+M42+M54+M70+M76+M82+M88</f>
        <v>20961194</v>
      </c>
      <c r="N97" s="4">
        <f>N12/M12</f>
        <v>1.088867408984431</v>
      </c>
      <c r="O97" s="10">
        <f>+O18+O24+O30+O36+O42+O54+O70+O76+O82+O88</f>
        <v>81245176</v>
      </c>
      <c r="P97" s="4">
        <f>P12/O12</f>
        <v>1.0554858297063692</v>
      </c>
      <c r="Q97" s="10">
        <f>+Q18+Q24+Q30+Q36+Q42+Q54+Q70+Q76+Q82+Q88</f>
        <v>235229256</v>
      </c>
      <c r="R97" s="4">
        <f>R12/Q12</f>
        <v>1.1427416451973984</v>
      </c>
      <c r="S97" s="10">
        <f>+S18+S24+S30+S36+S42+S54+S70+S76+S82+S88</f>
        <v>186768823</v>
      </c>
      <c r="T97" s="4">
        <f>T12/S12</f>
        <v>1.0227575830469307</v>
      </c>
      <c r="U97" s="10">
        <f>+U18+U24+U30+U36+U42+U54+U70+U76+U82+U88</f>
        <v>77144853</v>
      </c>
      <c r="V97" s="4">
        <f>V12/U12</f>
        <v>1.0284829112319391</v>
      </c>
      <c r="W97" s="10">
        <f>+W18+W24+W30+W36+W42+W54+W70+W76+W82+W88</f>
        <v>48514832</v>
      </c>
      <c r="X97" s="4">
        <f>X12/W12</f>
        <v>1.2382851289683947</v>
      </c>
      <c r="Y97" s="10">
        <f>+Y18+Y24+Y30+Y36+Y42+Y54+Y70+Y76+Y82+Y88</f>
        <v>909035485</v>
      </c>
      <c r="Z97" s="4">
        <f>Z12/Y12</f>
        <v>1.0065992352322748</v>
      </c>
    </row>
    <row r="99" spans="5:25" ht="12.75">
      <c r="E99" s="10" t="s">
        <v>143</v>
      </c>
      <c r="G99" s="10" t="s">
        <v>143</v>
      </c>
      <c r="I99" s="10" t="s">
        <v>143</v>
      </c>
      <c r="K99" s="10" t="s">
        <v>143</v>
      </c>
      <c r="M99" s="10" t="s">
        <v>143</v>
      </c>
      <c r="O99" s="10" t="s">
        <v>143</v>
      </c>
      <c r="Q99" s="10" t="s">
        <v>143</v>
      </c>
      <c r="S99" s="10" t="s">
        <v>143</v>
      </c>
      <c r="U99" s="10" t="s">
        <v>143</v>
      </c>
      <c r="W99" s="10" t="s">
        <v>143</v>
      </c>
      <c r="Y99" s="10" t="s">
        <v>143</v>
      </c>
    </row>
    <row r="100" spans="5:25" ht="12.75">
      <c r="E100" s="11">
        <f>+F16+F22+F28+F34+F40+F52+F68+F74+F80+F86</f>
        <v>5</v>
      </c>
      <c r="G100" s="11">
        <f>+H16+H22+H28+H34+H40+H52+H68+H74+H80+H86</f>
        <v>898</v>
      </c>
      <c r="I100" s="11">
        <f>+J16+J22+J28+J34+J40+J52+J68+J74+J80+J86</f>
        <v>296</v>
      </c>
      <c r="K100" s="11">
        <f>+L16+L22+L28+L34+L40+L52+L68+L74+L80+L86</f>
        <v>1144.0000000000002</v>
      </c>
      <c r="M100" s="11">
        <f>+N16+N22+N28+N34+N40+N52+N68+N74+N80+N86</f>
        <v>88</v>
      </c>
      <c r="O100" s="11">
        <f>+P16+P22+P28+P34+P40+P52+P68+P74+P80+P86</f>
        <v>587</v>
      </c>
      <c r="Q100" s="11">
        <f>+R16+R22+R28+R34+R40+R52+R68+R74+R80+R86</f>
        <v>883</v>
      </c>
      <c r="S100" s="11">
        <f>+T16+T22+T28+T34+T40+T52+T68+T74+T80+T86</f>
        <v>479.00000000000006</v>
      </c>
      <c r="U100" s="11">
        <f>+V16+V22+V28+V34+V40+V52+V68+V74+V80+V86</f>
        <v>350.0000000000001</v>
      </c>
      <c r="W100" s="11">
        <f>+X16+X22+X28+X34+X40+X52+X68+X74+X80+X86</f>
        <v>354.9999999999999</v>
      </c>
      <c r="Y100" s="11">
        <f>+Z16+Z22+Z28+Z34+Z40+Z52+Z68+Z74+Z80+Z86</f>
        <v>270</v>
      </c>
    </row>
    <row r="101" spans="5:25" ht="12.75">
      <c r="E101" s="11">
        <f>+F17+F23+F29+F35+F41+F53+F69+F75+F81+F87</f>
        <v>59</v>
      </c>
      <c r="G101" s="11">
        <f>+H17+H23+H29+H35+H41+H53+H69+H75+H81+H87</f>
        <v>6718</v>
      </c>
      <c r="I101" s="11">
        <f>+J17+J23+J29+J35+J41+J53+J69+J75+J81+J87</f>
        <v>10072.999999999998</v>
      </c>
      <c r="K101" s="11">
        <f>+L17+L23+L29+L35+L41+L53+L69+L75+L81+L87</f>
        <v>18637.999999999996</v>
      </c>
      <c r="M101" s="11">
        <f>+N17+N23+N29+N35+N41+N53+N69+N75+N81+N87</f>
        <v>915</v>
      </c>
      <c r="O101" s="11">
        <f>+P17+P23+P29+P35+P41+P53+P69+P75+P81+P87</f>
        <v>3196.9999999999995</v>
      </c>
      <c r="Q101" s="11">
        <f>+R17+R23+R29+R35+R41+R53+R69+R75+R81+R87</f>
        <v>7648.000000000002</v>
      </c>
      <c r="S101" s="11">
        <f>+T17+T23+T29+T35+T41+T53+T69+T75+T81+T87</f>
        <v>7630.000000000001</v>
      </c>
      <c r="U101" s="11">
        <f>+V17+V23+V29+V35+V41+V53+V69+V75+V81+V87</f>
        <v>7881.000000000001</v>
      </c>
      <c r="W101" s="11">
        <f>+X17+X23+X29+X35+X41+X53+X69+X75+X81+X87</f>
        <v>2647</v>
      </c>
      <c r="Y101" s="11">
        <f>+Z17+Z23+Z29+Z35+Z41+Z53+Z69+Z75+Z81+Z87</f>
        <v>23488.000000000004</v>
      </c>
    </row>
    <row r="102" spans="5:25" ht="12.75">
      <c r="E102" s="11">
        <f>+F18+F24+F30+F36+F42+F54+F70+F76+F82+F88</f>
        <v>2419532</v>
      </c>
      <c r="G102" s="11">
        <f>+H18+H24+H30+H36+H42+H54+H70+H76+H82+H88</f>
        <v>213279143.99999997</v>
      </c>
      <c r="I102" s="11">
        <f>+J18+J24+J30+J36+J42+J54+J70+J76+J82+J88</f>
        <v>351481975.00000006</v>
      </c>
      <c r="K102" s="11">
        <f>+L18+L24+L30+L36+L42+L54+L70+L76+L82+L88</f>
        <v>473847756</v>
      </c>
      <c r="M102" s="11">
        <f>+N18+N24+N30+N36+N42+N54+N70+N76+N82+N88</f>
        <v>22823961.000000004</v>
      </c>
      <c r="O102" s="11">
        <f>+P18+P24+P30+P36+P42+P54+P70+P76+P82+P88</f>
        <v>85753132</v>
      </c>
      <c r="Q102" s="11">
        <f>+R18+R24+R30+R36+R42+R54+R70+R76+R82+R88</f>
        <v>268806267</v>
      </c>
      <c r="S102" s="11">
        <f>+T18+T24+T30+T36+T42+T54+T70+T76+T82+T88</f>
        <v>191019229.99999997</v>
      </c>
      <c r="U102" s="11">
        <f>+V18+V24+V30+V36+V42+V54+V70+V76+V82+V88</f>
        <v>79342163</v>
      </c>
      <c r="W102" s="11">
        <f>+X18+X24+X30+X36+X42+X54+X70+X76+X82+X88</f>
        <v>60075195.00000001</v>
      </c>
      <c r="Y102" s="11">
        <f>+Z18+Z24+Z30+Z36+Z42+Z54+Z70+Z76+Z82+Z88</f>
        <v>915034423.9999999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9"/>
  <sheetViews>
    <sheetView tabSelected="1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4" sqref="D14"/>
    </sheetView>
  </sheetViews>
  <sheetFormatPr defaultColWidth="9.140625" defaultRowHeight="12.75"/>
  <cols>
    <col min="3" max="3" width="11.7109375" style="10" hidden="1" customWidth="1"/>
    <col min="4" max="4" width="12.140625" style="0" customWidth="1"/>
    <col min="5" max="5" width="8.28125" style="10" hidden="1" customWidth="1"/>
    <col min="6" max="6" width="9.28125" style="0" bestFit="1" customWidth="1"/>
    <col min="7" max="7" width="11.140625" style="10" hidden="1" customWidth="1"/>
    <col min="8" max="8" width="9.8515625" style="0" bestFit="1" customWidth="1"/>
    <col min="9" max="9" width="10.8515625" style="10" hidden="1" customWidth="1"/>
    <col min="10" max="10" width="10.8515625" style="0" customWidth="1"/>
    <col min="11" max="11" width="11.140625" style="10" hidden="1" customWidth="1"/>
    <col min="12" max="12" width="10.28125" style="0" customWidth="1"/>
    <col min="13" max="13" width="10.28125" style="10" hidden="1" customWidth="1"/>
    <col min="14" max="14" width="9.8515625" style="0" bestFit="1" customWidth="1"/>
    <col min="15" max="15" width="10.57421875" style="10" hidden="1" customWidth="1"/>
    <col min="16" max="16" width="9.8515625" style="0" bestFit="1" customWidth="1"/>
    <col min="17" max="17" width="11.57421875" style="10" hidden="1" customWidth="1"/>
    <col min="18" max="18" width="10.28125" style="0" customWidth="1"/>
    <col min="19" max="19" width="11.7109375" style="10" hidden="1" customWidth="1"/>
    <col min="20" max="20" width="9.8515625" style="0" bestFit="1" customWidth="1"/>
    <col min="21" max="21" width="10.57421875" style="10" hidden="1" customWidth="1"/>
    <col min="22" max="22" width="9.7109375" style="0" bestFit="1" customWidth="1"/>
    <col min="23" max="23" width="11.421875" style="10" hidden="1" customWidth="1"/>
    <col min="24" max="24" width="9.7109375" style="0" bestFit="1" customWidth="1"/>
    <col min="25" max="25" width="11.140625" style="10" hidden="1" customWidth="1"/>
    <col min="26" max="26" width="11.00390625" style="0" customWidth="1"/>
    <col min="27" max="27" width="10.421875" style="0" customWidth="1"/>
  </cols>
  <sheetData>
    <row r="1" spans="12:26" ht="12.75">
      <c r="L1" t="s">
        <v>188</v>
      </c>
      <c r="Z1" s="1"/>
    </row>
    <row r="2" spans="16:26" ht="12.75">
      <c r="P2" t="s">
        <v>201</v>
      </c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 t="s">
        <v>124</v>
      </c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 t="s">
        <v>187</v>
      </c>
      <c r="M6" s="11"/>
      <c r="N6" s="1"/>
      <c r="O6" s="11"/>
      <c r="P6" s="2" t="s">
        <v>128</v>
      </c>
      <c r="Q6" s="12"/>
      <c r="R6" s="1" t="s">
        <v>129</v>
      </c>
      <c r="S6" s="11"/>
      <c r="T6" s="2" t="s">
        <v>131</v>
      </c>
      <c r="U6" s="12"/>
      <c r="V6" s="2" t="s">
        <v>133</v>
      </c>
      <c r="W6" s="12"/>
      <c r="X6" s="2" t="s">
        <v>140</v>
      </c>
      <c r="Y6" s="12"/>
      <c r="Z6" s="1"/>
    </row>
    <row r="7" spans="1:26" ht="12.75">
      <c r="A7" s="1" t="s">
        <v>185</v>
      </c>
      <c r="B7" s="1"/>
      <c r="C7" s="11"/>
      <c r="D7" s="2" t="s">
        <v>184</v>
      </c>
      <c r="E7" s="12" t="s">
        <v>144</v>
      </c>
      <c r="F7" s="2" t="s">
        <v>7</v>
      </c>
      <c r="G7" s="11" t="s">
        <v>145</v>
      </c>
      <c r="H7" s="1" t="s">
        <v>8</v>
      </c>
      <c r="I7" s="11" t="s">
        <v>146</v>
      </c>
      <c r="J7" s="2" t="s">
        <v>9</v>
      </c>
      <c r="K7" s="11" t="s">
        <v>147</v>
      </c>
      <c r="L7" s="1" t="s">
        <v>125</v>
      </c>
      <c r="M7" s="11" t="s">
        <v>148</v>
      </c>
      <c r="N7" s="2" t="s">
        <v>126</v>
      </c>
      <c r="O7" s="12" t="s">
        <v>149</v>
      </c>
      <c r="P7" s="2" t="s">
        <v>127</v>
      </c>
      <c r="Q7" s="12" t="s">
        <v>150</v>
      </c>
      <c r="R7" s="1" t="s">
        <v>130</v>
      </c>
      <c r="S7" s="11" t="s">
        <v>151</v>
      </c>
      <c r="T7" s="2" t="s">
        <v>132</v>
      </c>
      <c r="U7" s="12" t="s">
        <v>152</v>
      </c>
      <c r="V7" s="2" t="s">
        <v>134</v>
      </c>
      <c r="W7" s="12" t="s">
        <v>153</v>
      </c>
      <c r="X7" s="2" t="s">
        <v>141</v>
      </c>
      <c r="Y7" s="12" t="s">
        <v>154</v>
      </c>
      <c r="Z7" s="2" t="s">
        <v>94</v>
      </c>
    </row>
    <row r="8" spans="1:26" ht="12.75">
      <c r="A8" s="1"/>
      <c r="B8" s="1"/>
      <c r="C8" s="11"/>
      <c r="D8" s="2"/>
      <c r="E8" s="13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 t="s">
        <v>170</v>
      </c>
      <c r="B9" s="1"/>
      <c r="C9" s="11" t="s">
        <v>155</v>
      </c>
      <c r="D9" s="1"/>
      <c r="E9" s="11" t="s">
        <v>182</v>
      </c>
      <c r="F9" s="1"/>
      <c r="G9" s="11" t="s">
        <v>182</v>
      </c>
      <c r="H9" s="1"/>
      <c r="I9" s="11" t="s">
        <v>182</v>
      </c>
      <c r="J9" s="1"/>
      <c r="K9" s="11" t="s">
        <v>182</v>
      </c>
      <c r="L9" s="1"/>
      <c r="M9" s="11" t="s">
        <v>182</v>
      </c>
      <c r="N9" s="1"/>
      <c r="O9" s="11" t="s">
        <v>182</v>
      </c>
      <c r="P9" s="1"/>
      <c r="Q9" s="11" t="s">
        <v>182</v>
      </c>
      <c r="R9" s="1"/>
      <c r="S9" s="11" t="s">
        <v>182</v>
      </c>
      <c r="T9" s="1"/>
      <c r="U9" s="11" t="s">
        <v>182</v>
      </c>
      <c r="V9" s="1"/>
      <c r="W9" s="11" t="s">
        <v>182</v>
      </c>
      <c r="X9" s="1"/>
      <c r="Y9" s="11" t="s">
        <v>182</v>
      </c>
      <c r="Z9" s="1"/>
    </row>
    <row r="10" spans="1:27" ht="12.75">
      <c r="A10" s="1" t="s">
        <v>18</v>
      </c>
      <c r="B10" s="1"/>
      <c r="C10" s="11">
        <f>+C16+C22+C28+C34+C40+C55+C61+C67+C73</f>
        <v>1959</v>
      </c>
      <c r="D10" s="1">
        <v>3253</v>
      </c>
      <c r="E10" s="11">
        <v>2</v>
      </c>
      <c r="F10" s="1">
        <v>3</v>
      </c>
      <c r="G10" s="11">
        <v>296</v>
      </c>
      <c r="H10" s="1">
        <v>600</v>
      </c>
      <c r="I10" s="11">
        <v>152</v>
      </c>
      <c r="J10" s="1">
        <v>231</v>
      </c>
      <c r="K10" s="11">
        <v>410</v>
      </c>
      <c r="L10" s="1">
        <v>652</v>
      </c>
      <c r="M10" s="11">
        <v>27</v>
      </c>
      <c r="N10" s="1">
        <v>53</v>
      </c>
      <c r="O10" s="11">
        <v>214</v>
      </c>
      <c r="P10" s="1">
        <v>365</v>
      </c>
      <c r="Q10" s="11">
        <v>254</v>
      </c>
      <c r="R10" s="1">
        <v>491</v>
      </c>
      <c r="S10" s="11">
        <v>218</v>
      </c>
      <c r="T10" s="1">
        <v>323</v>
      </c>
      <c r="U10" s="11">
        <v>139</v>
      </c>
      <c r="V10" s="1">
        <v>187</v>
      </c>
      <c r="W10" s="11">
        <v>115</v>
      </c>
      <c r="X10" s="1">
        <v>188</v>
      </c>
      <c r="Y10" s="11">
        <v>129</v>
      </c>
      <c r="Z10" s="1">
        <v>160</v>
      </c>
      <c r="AA10" s="1">
        <f>+F10+H10+J10+L10+N10+P10+R10+T10+V10+X10+Z10</f>
        <v>3253</v>
      </c>
    </row>
    <row r="11" spans="1:27" ht="12.75">
      <c r="A11" s="1" t="s">
        <v>20</v>
      </c>
      <c r="B11" s="1"/>
      <c r="C11" s="11">
        <f>+C17+C23+C29+C35+C41+C56+C62+C68+C74</f>
        <v>41857</v>
      </c>
      <c r="D11" s="1">
        <v>48112</v>
      </c>
      <c r="E11" s="11">
        <v>8</v>
      </c>
      <c r="F11" s="1">
        <v>9</v>
      </c>
      <c r="G11" s="11">
        <v>1916</v>
      </c>
      <c r="H11" s="1">
        <v>2809</v>
      </c>
      <c r="I11" s="11">
        <v>9389</v>
      </c>
      <c r="J11" s="1">
        <v>10176</v>
      </c>
      <c r="K11" s="11">
        <v>6338</v>
      </c>
      <c r="L11" s="1">
        <v>7229</v>
      </c>
      <c r="M11" s="11">
        <v>473</v>
      </c>
      <c r="N11" s="1">
        <v>919</v>
      </c>
      <c r="O11" s="11">
        <v>1181</v>
      </c>
      <c r="P11" s="1">
        <v>1562</v>
      </c>
      <c r="Q11" s="11">
        <v>4385</v>
      </c>
      <c r="R11" s="1">
        <v>4826</v>
      </c>
      <c r="S11" s="11">
        <v>4240</v>
      </c>
      <c r="T11" s="1">
        <v>4765</v>
      </c>
      <c r="U11" s="11">
        <v>3057</v>
      </c>
      <c r="V11" s="1">
        <v>3545</v>
      </c>
      <c r="W11" s="11">
        <v>648</v>
      </c>
      <c r="X11" s="1">
        <v>1116</v>
      </c>
      <c r="Y11" s="11">
        <v>10310</v>
      </c>
      <c r="Z11" s="1">
        <v>11156</v>
      </c>
      <c r="AA11" s="1">
        <f>+F11+H11+J11+L11+N11+P11+R11+T11+V11+X11+Z11</f>
        <v>48112</v>
      </c>
    </row>
    <row r="12" spans="1:27" ht="12.75">
      <c r="A12" s="1" t="s">
        <v>21</v>
      </c>
      <c r="B12" s="1"/>
      <c r="C12" s="11">
        <f>+C18+C24+C30+C36+C42+C57+C63+C69+C75</f>
        <v>1093096780</v>
      </c>
      <c r="D12" s="1">
        <v>1247974142</v>
      </c>
      <c r="E12" s="11">
        <v>220921</v>
      </c>
      <c r="F12" s="1">
        <v>226121</v>
      </c>
      <c r="G12" s="11">
        <v>47739374</v>
      </c>
      <c r="H12" s="1">
        <v>67719088</v>
      </c>
      <c r="I12" s="11">
        <v>324189363</v>
      </c>
      <c r="J12" s="1">
        <v>350058960</v>
      </c>
      <c r="K12" s="11">
        <v>130987022</v>
      </c>
      <c r="L12" s="1">
        <v>153858516</v>
      </c>
      <c r="M12" s="11">
        <v>10612364</v>
      </c>
      <c r="N12" s="1">
        <v>19613258</v>
      </c>
      <c r="O12" s="11">
        <v>33217302</v>
      </c>
      <c r="P12" s="1">
        <v>42174730</v>
      </c>
      <c r="Q12" s="11">
        <v>115983720</v>
      </c>
      <c r="R12" s="1">
        <v>128890242</v>
      </c>
      <c r="S12" s="11">
        <v>101608111</v>
      </c>
      <c r="T12" s="1">
        <v>114561567</v>
      </c>
      <c r="U12" s="11">
        <v>31138815</v>
      </c>
      <c r="V12" s="1">
        <v>35697439</v>
      </c>
      <c r="W12" s="11">
        <v>14262679</v>
      </c>
      <c r="X12" s="1">
        <v>24916397</v>
      </c>
      <c r="Y12" s="11">
        <v>290726091</v>
      </c>
      <c r="Z12" s="1">
        <v>310257824</v>
      </c>
      <c r="AA12" s="1">
        <f>+F12+H12+J12+L12+N12+P12+R12+T12+V12+X12+Z12</f>
        <v>1247974142</v>
      </c>
    </row>
    <row r="13" spans="1:27" ht="12.75">
      <c r="A13" s="1" t="s">
        <v>23</v>
      </c>
      <c r="B13" s="1"/>
      <c r="C13" s="11"/>
      <c r="D13" s="1">
        <v>2161.5780920906773</v>
      </c>
      <c r="E13" s="11"/>
      <c r="F13" s="1">
        <v>2093.712962962963</v>
      </c>
      <c r="G13" s="11"/>
      <c r="H13" s="1">
        <v>2008.991574700368</v>
      </c>
      <c r="I13" s="11"/>
      <c r="J13" s="1">
        <v>2866.7040094339623</v>
      </c>
      <c r="K13" s="11"/>
      <c r="L13" s="1">
        <v>1773.6260893622907</v>
      </c>
      <c r="M13" s="11"/>
      <c r="N13" s="1">
        <v>1778.4963728690607</v>
      </c>
      <c r="O13" s="11"/>
      <c r="P13" s="1">
        <v>2250.038945795988</v>
      </c>
      <c r="Q13" s="11"/>
      <c r="R13" s="1">
        <v>2225.6223580605056</v>
      </c>
      <c r="S13" s="11"/>
      <c r="T13" s="1">
        <v>2003.525131164743</v>
      </c>
      <c r="U13" s="11"/>
      <c r="V13" s="1">
        <v>839.1499529854254</v>
      </c>
      <c r="W13" s="11"/>
      <c r="X13" s="1">
        <v>1860.5433841099164</v>
      </c>
      <c r="Y13" s="11"/>
      <c r="Z13" s="1">
        <v>2317.5706943946457</v>
      </c>
      <c r="AA13" s="1">
        <f>AA12/(AA11*12)</f>
        <v>2161.5780920906773</v>
      </c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 t="s">
        <v>171</v>
      </c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7" ht="12.75">
      <c r="A16" s="1" t="s">
        <v>18</v>
      </c>
      <c r="B16" s="1"/>
      <c r="C16" s="11">
        <v>78</v>
      </c>
      <c r="D16" s="1">
        <v>128.50198513274756</v>
      </c>
      <c r="E16" s="11">
        <v>0</v>
      </c>
      <c r="F16" s="1">
        <v>0</v>
      </c>
      <c r="G16" s="11">
        <v>22</v>
      </c>
      <c r="H16" s="1">
        <v>44.5945945945946</v>
      </c>
      <c r="I16" s="11">
        <v>6</v>
      </c>
      <c r="J16" s="1">
        <v>9.118421052631579</v>
      </c>
      <c r="K16" s="11">
        <v>15</v>
      </c>
      <c r="L16" s="1">
        <v>23.853658536585368</v>
      </c>
      <c r="M16" s="11">
        <v>1</v>
      </c>
      <c r="N16" s="7" t="s">
        <v>32</v>
      </c>
      <c r="O16" s="11">
        <v>3</v>
      </c>
      <c r="P16" s="1">
        <v>5.116822429906542</v>
      </c>
      <c r="Q16" s="11">
        <v>14</v>
      </c>
      <c r="R16" s="1">
        <v>27.062992125984252</v>
      </c>
      <c r="S16" s="11">
        <v>6</v>
      </c>
      <c r="T16" s="1">
        <v>8.889908256880734</v>
      </c>
      <c r="U16" s="11">
        <v>2</v>
      </c>
      <c r="V16" s="1">
        <v>2.6906474820143886</v>
      </c>
      <c r="W16" s="11">
        <v>3</v>
      </c>
      <c r="X16" s="7" t="s">
        <v>32</v>
      </c>
      <c r="Y16" s="11">
        <v>4</v>
      </c>
      <c r="Z16" s="1">
        <v>4.961240310077519</v>
      </c>
      <c r="AA16" t="e">
        <f>+F16+H16+J16+L16+N16+P16+R16+T16+V16+X16+Z16</f>
        <v>#VALUE!</v>
      </c>
    </row>
    <row r="17" spans="1:27" ht="12.75">
      <c r="A17" s="1" t="s">
        <v>20</v>
      </c>
      <c r="B17" s="1"/>
      <c r="C17" s="11">
        <v>468</v>
      </c>
      <c r="D17" s="1">
        <v>653.5766383573934</v>
      </c>
      <c r="E17" s="11">
        <v>0</v>
      </c>
      <c r="F17" s="1">
        <v>0</v>
      </c>
      <c r="G17" s="11">
        <v>162</v>
      </c>
      <c r="H17" s="1">
        <v>237.50417536534448</v>
      </c>
      <c r="I17" s="11">
        <v>58</v>
      </c>
      <c r="J17" s="1">
        <v>62.86164660773245</v>
      </c>
      <c r="K17" s="11">
        <v>111</v>
      </c>
      <c r="L17" s="1">
        <v>126.60444935310825</v>
      </c>
      <c r="M17" s="11">
        <v>5</v>
      </c>
      <c r="N17" s="7" t="s">
        <v>32</v>
      </c>
      <c r="O17" s="11">
        <v>11</v>
      </c>
      <c r="P17" s="1">
        <v>14.548687552921251</v>
      </c>
      <c r="Q17" s="11">
        <v>46</v>
      </c>
      <c r="R17" s="1">
        <v>50.62622576966933</v>
      </c>
      <c r="S17" s="11">
        <v>14</v>
      </c>
      <c r="T17" s="1">
        <v>15.733490566037737</v>
      </c>
      <c r="U17" s="11">
        <v>29</v>
      </c>
      <c r="V17" s="1">
        <v>33.629375204448806</v>
      </c>
      <c r="W17" s="11">
        <v>18</v>
      </c>
      <c r="X17" s="7" t="s">
        <v>32</v>
      </c>
      <c r="Y17" s="11">
        <v>106</v>
      </c>
      <c r="Z17" s="1">
        <v>114.69796314258002</v>
      </c>
      <c r="AA17" t="e">
        <f>+F17+H17+J17+L17+N17+P17+R17+T17+V17+X17+Z17</f>
        <v>#VALUE!</v>
      </c>
    </row>
    <row r="18" spans="1:27" ht="12.75">
      <c r="A18" s="1" t="s">
        <v>21</v>
      </c>
      <c r="B18" s="1"/>
      <c r="C18" s="11">
        <v>9358987</v>
      </c>
      <c r="D18" s="1">
        <v>17788364.993816935</v>
      </c>
      <c r="E18" s="11">
        <v>0</v>
      </c>
      <c r="F18" s="1">
        <v>0</v>
      </c>
      <c r="G18" s="11">
        <v>3900548</v>
      </c>
      <c r="H18" s="1">
        <v>5532991.556617898</v>
      </c>
      <c r="I18" s="11">
        <v>2592054</v>
      </c>
      <c r="J18" s="1">
        <v>2798894.1990790735</v>
      </c>
      <c r="K18" s="11">
        <v>2987311</v>
      </c>
      <c r="L18" s="1">
        <v>3508921.954806149</v>
      </c>
      <c r="M18" s="11">
        <v>48139</v>
      </c>
      <c r="N18" s="7" t="s">
        <v>32</v>
      </c>
      <c r="O18" s="11">
        <v>100077</v>
      </c>
      <c r="P18" s="1">
        <v>127063.91549229375</v>
      </c>
      <c r="Q18" s="11">
        <v>1052475</v>
      </c>
      <c r="R18" s="1">
        <v>1169593.0898659744</v>
      </c>
      <c r="S18" s="11">
        <v>650047</v>
      </c>
      <c r="T18" s="1">
        <v>732917.8961278889</v>
      </c>
      <c r="U18" s="11">
        <v>948676</v>
      </c>
      <c r="V18" s="1">
        <v>1087559.1650088162</v>
      </c>
      <c r="W18" s="11">
        <v>311037</v>
      </c>
      <c r="X18" s="7" t="s">
        <v>32</v>
      </c>
      <c r="Y18" s="11">
        <v>3162169</v>
      </c>
      <c r="Z18" s="1">
        <v>3374611.7167731463</v>
      </c>
      <c r="AA18" t="e">
        <f>+F18+H18+J18+L18+N18+P18+R18+T18+V18+X18+Z18</f>
        <v>#VALUE!</v>
      </c>
    </row>
    <row r="19" spans="1:26" ht="12.75">
      <c r="A19" s="1" t="s">
        <v>23</v>
      </c>
      <c r="B19" s="1"/>
      <c r="C19" s="11"/>
      <c r="D19" s="1">
        <v>2268.079460750474</v>
      </c>
      <c r="E19" s="11">
        <v>0</v>
      </c>
      <c r="F19" s="1">
        <v>0</v>
      </c>
      <c r="G19" s="11"/>
      <c r="H19" s="1">
        <v>1941.366416017279</v>
      </c>
      <c r="I19" s="11"/>
      <c r="J19" s="1">
        <v>3710.389336634065</v>
      </c>
      <c r="K19" s="11"/>
      <c r="L19" s="1">
        <v>2309.6357544667403</v>
      </c>
      <c r="M19" s="11"/>
      <c r="N19" s="7" t="s">
        <v>32</v>
      </c>
      <c r="O19" s="11"/>
      <c r="P19" s="1">
        <v>727.8085796977406</v>
      </c>
      <c r="Q19" s="11"/>
      <c r="R19" s="1">
        <v>1925.2095004197888</v>
      </c>
      <c r="S19" s="11"/>
      <c r="T19" s="1">
        <v>3881.941587445971</v>
      </c>
      <c r="U19" s="11"/>
      <c r="V19" s="1">
        <v>2694.963253596575</v>
      </c>
      <c r="W19" s="11"/>
      <c r="X19" s="7" t="s">
        <v>32</v>
      </c>
      <c r="Y19" s="11"/>
      <c r="Z19" s="1">
        <v>2451.8102620083123</v>
      </c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 t="s">
        <v>172</v>
      </c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7" ht="12.75">
      <c r="A22" s="1" t="s">
        <v>18</v>
      </c>
      <c r="B22" s="1"/>
      <c r="C22" s="11">
        <f>+E22+G22+I22+K22+M22+O22+Q22+S22+U22+W22+Y22</f>
        <v>101</v>
      </c>
      <c r="D22" s="1">
        <v>168.03431337933176</v>
      </c>
      <c r="E22" s="11">
        <v>0</v>
      </c>
      <c r="F22" s="1">
        <v>0</v>
      </c>
      <c r="G22" s="11">
        <v>29</v>
      </c>
      <c r="H22" s="1">
        <v>58.78378378378379</v>
      </c>
      <c r="I22" s="11">
        <v>7</v>
      </c>
      <c r="J22" s="1">
        <v>10.63815789473684</v>
      </c>
      <c r="K22" s="11">
        <v>21</v>
      </c>
      <c r="L22" s="1">
        <v>33.395121951219515</v>
      </c>
      <c r="M22" s="11">
        <v>0</v>
      </c>
      <c r="N22" s="1">
        <v>0</v>
      </c>
      <c r="O22" s="11">
        <v>6</v>
      </c>
      <c r="P22" s="1">
        <v>10.233644859813085</v>
      </c>
      <c r="Q22" s="11">
        <v>4</v>
      </c>
      <c r="R22" s="1">
        <v>7.732283464566929</v>
      </c>
      <c r="S22" s="11">
        <v>7</v>
      </c>
      <c r="T22" s="1">
        <v>10.371559633027523</v>
      </c>
      <c r="U22" s="11">
        <v>6</v>
      </c>
      <c r="V22" s="1">
        <v>8.071942446043167</v>
      </c>
      <c r="W22" s="11">
        <v>7</v>
      </c>
      <c r="X22" s="1">
        <v>11.443478260869567</v>
      </c>
      <c r="Y22" s="11">
        <v>14</v>
      </c>
      <c r="Z22" s="1">
        <v>17.364341085271317</v>
      </c>
      <c r="AA22">
        <f>+F22+H22+J22+L22+N22+P22+R22+T22+V22+X22+Z22</f>
        <v>168.03431337933176</v>
      </c>
    </row>
    <row r="23" spans="1:27" ht="12.75">
      <c r="A23" s="1" t="s">
        <v>20</v>
      </c>
      <c r="B23" s="1"/>
      <c r="C23" s="11">
        <f>+E23+G23+I23+K23+M23+O23+Q23+S23+U23+W23+Y23</f>
        <v>2171</v>
      </c>
      <c r="D23" s="1">
        <v>2475.7130993537344</v>
      </c>
      <c r="E23" s="11">
        <v>0</v>
      </c>
      <c r="F23" s="1">
        <v>0</v>
      </c>
      <c r="G23" s="11">
        <v>204</v>
      </c>
      <c r="H23" s="1">
        <v>299.0793319415449</v>
      </c>
      <c r="I23" s="11">
        <v>1157</v>
      </c>
      <c r="J23" s="1">
        <v>1253.9814676749388</v>
      </c>
      <c r="K23" s="11">
        <v>373</v>
      </c>
      <c r="L23" s="1">
        <v>425.4365730514358</v>
      </c>
      <c r="M23" s="11">
        <v>0</v>
      </c>
      <c r="N23" s="1">
        <v>0</v>
      </c>
      <c r="O23" s="11">
        <v>23</v>
      </c>
      <c r="P23" s="1">
        <v>30.41998306519898</v>
      </c>
      <c r="Q23" s="11">
        <v>17</v>
      </c>
      <c r="R23" s="1">
        <v>18.7096921322691</v>
      </c>
      <c r="S23" s="11">
        <v>21</v>
      </c>
      <c r="T23" s="1">
        <v>23.600235849056606</v>
      </c>
      <c r="U23" s="11">
        <v>54</v>
      </c>
      <c r="V23" s="1">
        <v>62.620215897939154</v>
      </c>
      <c r="W23" s="11">
        <v>21</v>
      </c>
      <c r="X23" s="1">
        <v>36.16666666666667</v>
      </c>
      <c r="Y23" s="11">
        <v>301</v>
      </c>
      <c r="Z23" s="1">
        <v>325.69893307468476</v>
      </c>
      <c r="AA23">
        <f>+F23+H23+J23+L23+N23+P23+R23+T23+V23+X23+Z23</f>
        <v>2475.7130993537344</v>
      </c>
    </row>
    <row r="24" spans="1:27" ht="12.75">
      <c r="A24" s="1" t="s">
        <v>21</v>
      </c>
      <c r="B24" s="1"/>
      <c r="C24" s="11">
        <f>+E24+G24+I24+K24+M24+O24+Q24+S24+U24+W24+Y24</f>
        <v>65862041</v>
      </c>
      <c r="D24" s="1">
        <v>74008728.10862833</v>
      </c>
      <c r="E24" s="11">
        <v>0</v>
      </c>
      <c r="F24" s="1">
        <v>0</v>
      </c>
      <c r="G24" s="11">
        <v>4540655</v>
      </c>
      <c r="H24" s="1">
        <v>6440993.874838828</v>
      </c>
      <c r="I24" s="11">
        <v>38623208</v>
      </c>
      <c r="J24" s="1">
        <v>41705254.91406602</v>
      </c>
      <c r="K24" s="11">
        <v>11647304</v>
      </c>
      <c r="L24" s="1">
        <v>13681026.421387488</v>
      </c>
      <c r="M24" s="11">
        <v>0</v>
      </c>
      <c r="N24" s="1">
        <v>0</v>
      </c>
      <c r="O24" s="11">
        <v>442232</v>
      </c>
      <c r="P24" s="1">
        <v>561484.951347343</v>
      </c>
      <c r="Q24" s="11">
        <v>179814</v>
      </c>
      <c r="R24" s="1">
        <v>199823.47501001004</v>
      </c>
      <c r="S24" s="11">
        <v>230866</v>
      </c>
      <c r="T24" s="1">
        <v>260297.82924536412</v>
      </c>
      <c r="U24" s="11">
        <v>501173</v>
      </c>
      <c r="V24" s="1">
        <v>574543.1416046822</v>
      </c>
      <c r="W24" s="11">
        <v>348728</v>
      </c>
      <c r="X24" s="1">
        <v>609215.5122481547</v>
      </c>
      <c r="Y24" s="11">
        <v>9348061</v>
      </c>
      <c r="Z24" s="1">
        <v>9976087.988880448</v>
      </c>
      <c r="AA24">
        <f>+F24+H24+J24+L24+N24+P24+R24+T24+V24+X24+Z24</f>
        <v>74008728.10862833</v>
      </c>
    </row>
    <row r="25" spans="1:26" ht="12.75">
      <c r="A25" s="1" t="s">
        <v>23</v>
      </c>
      <c r="B25" s="1"/>
      <c r="C25" s="11"/>
      <c r="D25" s="1">
        <v>2491.1586123054044</v>
      </c>
      <c r="E25" s="11"/>
      <c r="F25" s="1">
        <v>0</v>
      </c>
      <c r="G25" s="11"/>
      <c r="H25" s="1">
        <v>1794.6726244353458</v>
      </c>
      <c r="I25" s="11"/>
      <c r="J25" s="1">
        <v>2771.5225456636617</v>
      </c>
      <c r="K25" s="11"/>
      <c r="L25" s="1">
        <v>2679.801425952597</v>
      </c>
      <c r="M25" s="11"/>
      <c r="N25" s="1">
        <v>0</v>
      </c>
      <c r="O25" s="11"/>
      <c r="P25" s="1">
        <v>1538.147227498219</v>
      </c>
      <c r="Q25" s="11"/>
      <c r="R25" s="1">
        <v>890.0176514456964</v>
      </c>
      <c r="S25" s="11"/>
      <c r="T25" s="1">
        <v>919.1215676479819</v>
      </c>
      <c r="U25" s="11"/>
      <c r="V25" s="1">
        <v>764.5868741774684</v>
      </c>
      <c r="W25" s="11"/>
      <c r="X25" s="1">
        <v>1403.7223784519692</v>
      </c>
      <c r="Y25" s="11"/>
      <c r="Z25" s="1">
        <v>2552.482005058966</v>
      </c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 t="s">
        <v>173</v>
      </c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7" ht="12.75">
      <c r="A28" s="1" t="s">
        <v>18</v>
      </c>
      <c r="B28" s="1"/>
      <c r="C28" s="11">
        <v>38</v>
      </c>
      <c r="D28" s="1">
        <v>51.86956940114966</v>
      </c>
      <c r="E28" s="11">
        <v>0</v>
      </c>
      <c r="F28" s="1">
        <v>0</v>
      </c>
      <c r="G28" s="11">
        <v>9</v>
      </c>
      <c r="H28" s="1">
        <v>18.243243243243246</v>
      </c>
      <c r="I28" s="11">
        <v>1</v>
      </c>
      <c r="J28" s="7" t="s">
        <v>32</v>
      </c>
      <c r="K28" s="11">
        <v>13</v>
      </c>
      <c r="L28" s="1">
        <v>20.67317073170732</v>
      </c>
      <c r="M28" s="15">
        <v>0</v>
      </c>
      <c r="N28" s="1">
        <v>0</v>
      </c>
      <c r="O28" s="11">
        <v>3</v>
      </c>
      <c r="P28" s="1">
        <v>5.116822429906542</v>
      </c>
      <c r="Q28" s="11">
        <v>2</v>
      </c>
      <c r="R28" s="1">
        <v>3.8661417322834644</v>
      </c>
      <c r="S28" s="11">
        <v>2</v>
      </c>
      <c r="T28" s="1">
        <v>2.963302752293578</v>
      </c>
      <c r="U28" s="11">
        <v>0</v>
      </c>
      <c r="V28" s="1">
        <v>0</v>
      </c>
      <c r="W28" s="11">
        <v>1</v>
      </c>
      <c r="X28" s="7" t="s">
        <v>32</v>
      </c>
      <c r="Y28" s="11">
        <v>5</v>
      </c>
      <c r="Z28" s="1">
        <v>6.2015503875969</v>
      </c>
      <c r="AA28" t="e">
        <f>+F28+H28+J28+L28+N28+P28+R28+T28+V28+X28+Z28</f>
        <v>#VALUE!</v>
      </c>
    </row>
    <row r="29" spans="1:27" ht="12.75">
      <c r="A29" s="1" t="s">
        <v>20</v>
      </c>
      <c r="B29" s="1"/>
      <c r="C29" s="11">
        <v>616</v>
      </c>
      <c r="D29" s="1">
        <v>356.9988725131358</v>
      </c>
      <c r="E29" s="11">
        <v>0</v>
      </c>
      <c r="F29" s="1">
        <v>0</v>
      </c>
      <c r="G29" s="11">
        <v>27</v>
      </c>
      <c r="H29" s="1">
        <v>39.584029227557416</v>
      </c>
      <c r="I29" s="11">
        <v>249</v>
      </c>
      <c r="J29" s="7" t="s">
        <v>32</v>
      </c>
      <c r="K29" s="11">
        <v>144</v>
      </c>
      <c r="L29" s="1">
        <v>164.24360997159988</v>
      </c>
      <c r="M29" s="15">
        <v>0</v>
      </c>
      <c r="N29" s="1">
        <v>0</v>
      </c>
      <c r="O29" s="11">
        <v>35</v>
      </c>
      <c r="P29" s="1">
        <v>46.29127857747671</v>
      </c>
      <c r="Q29" s="11">
        <v>9</v>
      </c>
      <c r="R29" s="1">
        <v>9.905131128848348</v>
      </c>
      <c r="S29" s="11">
        <v>51</v>
      </c>
      <c r="T29" s="1">
        <v>57.31485849056604</v>
      </c>
      <c r="U29" s="11">
        <v>0</v>
      </c>
      <c r="V29" s="1">
        <v>0</v>
      </c>
      <c r="W29" s="11">
        <v>3</v>
      </c>
      <c r="X29" s="7" t="s">
        <v>32</v>
      </c>
      <c r="Y29" s="11">
        <v>94</v>
      </c>
      <c r="Z29" s="1">
        <v>101.71328806983512</v>
      </c>
      <c r="AA29" t="e">
        <f>+F29+H29+J29+L29+N29+P29+R29+T29+V29+X29+Z29</f>
        <v>#VALUE!</v>
      </c>
    </row>
    <row r="30" spans="1:27" ht="12.75">
      <c r="A30" s="1" t="s">
        <v>21</v>
      </c>
      <c r="B30" s="1"/>
      <c r="C30" s="11">
        <v>15549996</v>
      </c>
      <c r="D30" s="1">
        <v>7939289.610420676</v>
      </c>
      <c r="E30" s="11">
        <v>0</v>
      </c>
      <c r="F30" s="1">
        <v>0</v>
      </c>
      <c r="G30" s="11">
        <v>547265</v>
      </c>
      <c r="H30" s="1">
        <v>776304.4126703462</v>
      </c>
      <c r="I30" s="11">
        <v>8517333</v>
      </c>
      <c r="J30" s="7" t="s">
        <v>32</v>
      </c>
      <c r="K30" s="11">
        <v>2866396</v>
      </c>
      <c r="L30" s="1">
        <v>3366894.1250403877</v>
      </c>
      <c r="M30" s="15">
        <v>0</v>
      </c>
      <c r="N30" s="1">
        <v>0</v>
      </c>
      <c r="O30" s="11">
        <v>1346174</v>
      </c>
      <c r="P30" s="1">
        <v>1709185.321042028</v>
      </c>
      <c r="Q30" s="11">
        <v>532605</v>
      </c>
      <c r="R30" s="1">
        <v>591872.6122977432</v>
      </c>
      <c r="S30" s="11">
        <v>999913</v>
      </c>
      <c r="T30" s="1">
        <v>1127386.3770941575</v>
      </c>
      <c r="U30" s="11">
        <v>0</v>
      </c>
      <c r="V30" s="1">
        <v>0</v>
      </c>
      <c r="W30" s="11">
        <v>31056</v>
      </c>
      <c r="X30" s="7" t="s">
        <v>32</v>
      </c>
      <c r="Y30" s="11">
        <v>1904690</v>
      </c>
      <c r="Z30" s="1">
        <v>2032652.015379521</v>
      </c>
      <c r="AA30" t="e">
        <f>+F30+H30+J30+L30+N30+P30+R30+T30+V30+X30+Z30</f>
        <v>#VALUE!</v>
      </c>
    </row>
    <row r="31" spans="1:26" ht="12.75">
      <c r="A31" s="1" t="s">
        <v>23</v>
      </c>
      <c r="B31" s="1"/>
      <c r="C31" s="11">
        <v>2104</v>
      </c>
      <c r="D31" s="1">
        <v>1853.2480589576999</v>
      </c>
      <c r="E31" s="11">
        <v>0</v>
      </c>
      <c r="F31" s="1">
        <v>0</v>
      </c>
      <c r="G31" s="11"/>
      <c r="H31" s="1">
        <v>1634.2963475824874</v>
      </c>
      <c r="I31" s="11"/>
      <c r="J31" s="7" t="s">
        <v>32</v>
      </c>
      <c r="K31" s="11"/>
      <c r="L31" s="1">
        <v>1708.2826568933046</v>
      </c>
      <c r="M31" s="15"/>
      <c r="N31" s="1">
        <v>0</v>
      </c>
      <c r="O31" s="11"/>
      <c r="P31" s="1">
        <v>3076.867057116388</v>
      </c>
      <c r="Q31" s="11"/>
      <c r="R31" s="1">
        <v>4979.511835822941</v>
      </c>
      <c r="S31" s="11"/>
      <c r="T31" s="1">
        <v>1639.171189322754</v>
      </c>
      <c r="U31" s="11"/>
      <c r="V31" s="1">
        <v>0</v>
      </c>
      <c r="W31" s="11"/>
      <c r="X31" s="7" t="s">
        <v>32</v>
      </c>
      <c r="Y31" s="11"/>
      <c r="Z31" s="1">
        <v>1665.3445303232543</v>
      </c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 t="s">
        <v>174</v>
      </c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7" ht="12.75">
      <c r="A34" s="1" t="s">
        <v>18</v>
      </c>
      <c r="B34" s="1"/>
      <c r="C34" s="11">
        <f>+E34+G34+I34+K34+M34+O34+Q34+S34+U34+W34+Y34</f>
        <v>1290</v>
      </c>
      <c r="D34" s="1">
        <v>2120.865629810884</v>
      </c>
      <c r="E34" s="11">
        <v>0</v>
      </c>
      <c r="F34" s="1">
        <v>0</v>
      </c>
      <c r="G34" s="11">
        <v>115</v>
      </c>
      <c r="H34" s="1">
        <v>233.10810810810813</v>
      </c>
      <c r="I34" s="11">
        <v>92</v>
      </c>
      <c r="J34" s="1">
        <v>139.8157894736842</v>
      </c>
      <c r="K34" s="11">
        <v>291</v>
      </c>
      <c r="L34" s="1">
        <v>462.76097560975614</v>
      </c>
      <c r="M34" s="11">
        <v>24</v>
      </c>
      <c r="N34" s="1">
        <v>47.111111111111114</v>
      </c>
      <c r="O34" s="11">
        <v>171</v>
      </c>
      <c r="P34" s="1">
        <v>291.6588785046729</v>
      </c>
      <c r="Q34" s="11">
        <v>177</v>
      </c>
      <c r="R34" s="1">
        <v>342.1535433070866</v>
      </c>
      <c r="S34" s="11">
        <v>182</v>
      </c>
      <c r="T34" s="1">
        <v>269.6605504587156</v>
      </c>
      <c r="U34" s="11">
        <v>101</v>
      </c>
      <c r="V34" s="1">
        <v>135.87769784172662</v>
      </c>
      <c r="W34" s="11">
        <v>73</v>
      </c>
      <c r="X34" s="1">
        <v>119.33913043478262</v>
      </c>
      <c r="Y34" s="11">
        <v>64</v>
      </c>
      <c r="Z34" s="1">
        <v>79.37984496124031</v>
      </c>
      <c r="AA34">
        <f>+F34+H34+J34+L34+N34+P34+R34+T34+V34+X34+Z34</f>
        <v>2120.865629810884</v>
      </c>
    </row>
    <row r="35" spans="1:27" ht="12.75">
      <c r="A35" s="1" t="s">
        <v>20</v>
      </c>
      <c r="B35" s="1"/>
      <c r="C35" s="11">
        <f>+E35+G35+I35+K35+M35+O35+Q35+S35+U35+W35+Y35</f>
        <v>32948</v>
      </c>
      <c r="D35" s="1">
        <v>37613.06154613648</v>
      </c>
      <c r="E35" s="11">
        <v>0</v>
      </c>
      <c r="F35" s="1">
        <v>0</v>
      </c>
      <c r="G35" s="11">
        <v>832</v>
      </c>
      <c r="H35" s="1">
        <v>1219.7745302713988</v>
      </c>
      <c r="I35" s="11">
        <v>6000</v>
      </c>
      <c r="J35" s="1">
        <v>6502.928959420598</v>
      </c>
      <c r="K35" s="11">
        <v>4941</v>
      </c>
      <c r="L35" s="1">
        <v>5635.608867150521</v>
      </c>
      <c r="M35" s="11">
        <v>440</v>
      </c>
      <c r="N35" s="1">
        <v>854.8837209302326</v>
      </c>
      <c r="O35" s="11">
        <v>1026</v>
      </c>
      <c r="P35" s="1">
        <v>1356.9957662997458</v>
      </c>
      <c r="Q35" s="11">
        <v>3794</v>
      </c>
      <c r="R35" s="1">
        <v>4175.563055872292</v>
      </c>
      <c r="S35" s="11">
        <v>3942</v>
      </c>
      <c r="T35" s="1">
        <v>4430.10141509434</v>
      </c>
      <c r="U35" s="11">
        <v>2546</v>
      </c>
      <c r="V35" s="1">
        <v>2952.4272162250572</v>
      </c>
      <c r="W35" s="11">
        <v>444</v>
      </c>
      <c r="X35" s="1">
        <v>764.6666666666667</v>
      </c>
      <c r="Y35" s="11">
        <v>8983</v>
      </c>
      <c r="Z35" s="1">
        <v>9720.111348205626</v>
      </c>
      <c r="AA35">
        <f>+F35+H35+J35+L35+N35+P35+R35+T35+V35+X35+Z35</f>
        <v>37613.06154613648</v>
      </c>
    </row>
    <row r="36" spans="1:27" ht="12.75">
      <c r="A36" s="1" t="s">
        <v>21</v>
      </c>
      <c r="B36" s="1"/>
      <c r="C36" s="11">
        <f>+E36+G36+I36+K36+M36+O36+Q36+S36+U36+W36+Y36</f>
        <v>854583643</v>
      </c>
      <c r="D36" s="1">
        <v>966134362.5167679</v>
      </c>
      <c r="E36" s="11">
        <v>0</v>
      </c>
      <c r="F36" s="1">
        <v>0</v>
      </c>
      <c r="G36" s="11">
        <v>22262402</v>
      </c>
      <c r="H36" s="1">
        <v>31579583.765161563</v>
      </c>
      <c r="I36" s="11">
        <v>211972316</v>
      </c>
      <c r="J36" s="1">
        <v>228887239.8560201</v>
      </c>
      <c r="K36" s="11">
        <v>95992608</v>
      </c>
      <c r="L36" s="1">
        <v>112753767.4217048</v>
      </c>
      <c r="M36" s="11">
        <v>10400227</v>
      </c>
      <c r="N36" s="1">
        <v>19221196.654163577</v>
      </c>
      <c r="O36" s="11">
        <v>29430500</v>
      </c>
      <c r="P36" s="1">
        <v>37366773.23356967</v>
      </c>
      <c r="Q36" s="11">
        <v>98512407</v>
      </c>
      <c r="R36" s="1">
        <v>109474743.33667254</v>
      </c>
      <c r="S36" s="11">
        <v>95207348</v>
      </c>
      <c r="T36" s="1">
        <v>107344806.13259621</v>
      </c>
      <c r="U36" s="11">
        <v>26026473</v>
      </c>
      <c r="V36" s="1">
        <v>29836666.30546625</v>
      </c>
      <c r="W36" s="11">
        <v>10446964</v>
      </c>
      <c r="X36" s="1">
        <v>18250477.52029671</v>
      </c>
      <c r="Y36" s="11">
        <v>254332398</v>
      </c>
      <c r="Z36" s="1">
        <v>271419108.29111636</v>
      </c>
      <c r="AA36">
        <f>+F36+H36+J36+L36+N36+P36+R36+T36+V36+X36+Z36</f>
        <v>966134362.5167679</v>
      </c>
    </row>
    <row r="37" spans="1:26" ht="12.75">
      <c r="A37" s="1" t="s">
        <v>23</v>
      </c>
      <c r="B37" s="1"/>
      <c r="C37" s="11">
        <f>C36/(C35*12)</f>
        <v>2161.4454165149123</v>
      </c>
      <c r="D37" s="1">
        <v>2140.51166182369</v>
      </c>
      <c r="E37" s="11"/>
      <c r="F37" s="1">
        <v>0</v>
      </c>
      <c r="G37" s="11"/>
      <c r="H37" s="1">
        <v>2157.4741192903857</v>
      </c>
      <c r="I37" s="11"/>
      <c r="J37" s="1">
        <v>2933.130097790243</v>
      </c>
      <c r="K37" s="11"/>
      <c r="L37" s="1">
        <v>1667.281656097782</v>
      </c>
      <c r="M37" s="11"/>
      <c r="N37" s="1">
        <v>1873.6657964477554</v>
      </c>
      <c r="O37" s="11"/>
      <c r="P37" s="1">
        <v>2294.6996938355314</v>
      </c>
      <c r="Q37" s="11"/>
      <c r="R37" s="1">
        <v>2184.8299632850913</v>
      </c>
      <c r="S37" s="11"/>
      <c r="T37" s="1">
        <v>2019.2315418718672</v>
      </c>
      <c r="U37" s="11"/>
      <c r="V37" s="1">
        <v>842.1507717869926</v>
      </c>
      <c r="W37" s="11"/>
      <c r="X37" s="1">
        <v>1988.9360854726146</v>
      </c>
      <c r="Y37" s="11"/>
      <c r="Z37" s="1">
        <v>2326.9547244883283</v>
      </c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 t="s">
        <v>175</v>
      </c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7" ht="12.75">
      <c r="A40" s="1" t="s">
        <v>18</v>
      </c>
      <c r="B40" s="1"/>
      <c r="C40" s="11">
        <v>51</v>
      </c>
      <c r="D40" s="1">
        <v>81.90283811310172</v>
      </c>
      <c r="E40" s="11">
        <v>0</v>
      </c>
      <c r="F40" s="1">
        <v>0</v>
      </c>
      <c r="G40" s="11">
        <v>21</v>
      </c>
      <c r="H40" s="1">
        <v>42.56756756756757</v>
      </c>
      <c r="I40" s="11">
        <v>7</v>
      </c>
      <c r="J40" s="1">
        <v>10.63815789473684</v>
      </c>
      <c r="K40" s="11">
        <v>5</v>
      </c>
      <c r="L40" s="1">
        <v>7.951219512195122</v>
      </c>
      <c r="M40" s="11">
        <v>0</v>
      </c>
      <c r="N40" s="2" t="s">
        <v>32</v>
      </c>
      <c r="O40" s="11">
        <v>1</v>
      </c>
      <c r="P40" s="2" t="s">
        <v>32</v>
      </c>
      <c r="Q40" s="11">
        <v>6</v>
      </c>
      <c r="R40" s="1">
        <v>11.598425196850393</v>
      </c>
      <c r="S40" s="11">
        <v>2</v>
      </c>
      <c r="T40" s="2" t="s">
        <v>32</v>
      </c>
      <c r="U40" s="11">
        <v>2</v>
      </c>
      <c r="V40" s="2" t="s">
        <v>32</v>
      </c>
      <c r="W40" s="11">
        <v>2</v>
      </c>
      <c r="X40" s="1">
        <v>3.2695652173913046</v>
      </c>
      <c r="Y40" s="11">
        <v>6</v>
      </c>
      <c r="Z40" s="1">
        <v>7.441860465116279</v>
      </c>
      <c r="AA40" t="e">
        <f>+F40+H40+J40+L40+N40+P40+R40+T40+V40+X40+Z40</f>
        <v>#VALUE!</v>
      </c>
    </row>
    <row r="41" spans="1:27" ht="12.75">
      <c r="A41" s="1" t="s">
        <v>20</v>
      </c>
      <c r="B41" s="1"/>
      <c r="C41" s="11">
        <f>+E41+G41+I41+K41+M41+O41+Q41+S41+U41+W41+Y41</f>
        <v>663</v>
      </c>
      <c r="D41" s="1">
        <v>731.5400353804467</v>
      </c>
      <c r="E41" s="11">
        <v>0</v>
      </c>
      <c r="F41" s="1">
        <v>0</v>
      </c>
      <c r="G41" s="11">
        <v>76</v>
      </c>
      <c r="H41" s="1">
        <v>111.42171189979123</v>
      </c>
      <c r="I41" s="11">
        <v>419</v>
      </c>
      <c r="J41" s="1">
        <v>454.1212056662051</v>
      </c>
      <c r="K41" s="11">
        <v>36</v>
      </c>
      <c r="L41" s="1">
        <v>41.06090249289997</v>
      </c>
      <c r="M41" s="11">
        <v>0</v>
      </c>
      <c r="N41" s="2" t="s">
        <v>32</v>
      </c>
      <c r="O41" s="11">
        <v>1</v>
      </c>
      <c r="P41" s="2" t="s">
        <v>32</v>
      </c>
      <c r="Q41" s="11">
        <v>14</v>
      </c>
      <c r="R41" s="1">
        <v>15.407981755986318</v>
      </c>
      <c r="S41" s="11">
        <v>2</v>
      </c>
      <c r="T41" s="2" t="s">
        <v>32</v>
      </c>
      <c r="U41" s="11">
        <v>3</v>
      </c>
      <c r="V41" s="2" t="s">
        <v>32</v>
      </c>
      <c r="W41" s="11">
        <v>12</v>
      </c>
      <c r="X41" s="1">
        <v>20.666666666666668</v>
      </c>
      <c r="Y41" s="11">
        <v>100</v>
      </c>
      <c r="Z41" s="1">
        <v>108.20562560620756</v>
      </c>
      <c r="AA41" t="e">
        <f>+F41+H41+J41+L41+N41+P41+R41+T41+V41+X41+Z41</f>
        <v>#VALUE!</v>
      </c>
    </row>
    <row r="42" spans="1:27" ht="12.75">
      <c r="A42" s="1" t="s">
        <v>21</v>
      </c>
      <c r="B42" s="1"/>
      <c r="C42" s="11">
        <f>+E42+G42+I42+K42+M42+O42+Q42+S42+U42+W42+Y42</f>
        <v>16123321</v>
      </c>
      <c r="D42" s="1">
        <v>17741724.28759482</v>
      </c>
      <c r="E42" s="11">
        <v>0</v>
      </c>
      <c r="F42" s="1">
        <v>0</v>
      </c>
      <c r="G42" s="11">
        <v>1709207</v>
      </c>
      <c r="H42" s="1">
        <v>2424538.2698821314</v>
      </c>
      <c r="I42" s="11">
        <v>10271720</v>
      </c>
      <c r="J42" s="1">
        <v>11091380.628090503</v>
      </c>
      <c r="K42" s="11">
        <v>1386430</v>
      </c>
      <c r="L42" s="1">
        <v>1628512.9555650179</v>
      </c>
      <c r="M42" s="11">
        <v>0</v>
      </c>
      <c r="N42" s="2" t="s">
        <v>32</v>
      </c>
      <c r="O42" s="11">
        <v>12996</v>
      </c>
      <c r="P42" s="2" t="s">
        <v>32</v>
      </c>
      <c r="Q42" s="11">
        <v>255728</v>
      </c>
      <c r="R42" s="1">
        <v>284185.08913299214</v>
      </c>
      <c r="S42" s="11">
        <v>18000</v>
      </c>
      <c r="T42" s="2" t="s">
        <v>32</v>
      </c>
      <c r="U42" s="11">
        <v>69000</v>
      </c>
      <c r="V42" s="2" t="s">
        <v>32</v>
      </c>
      <c r="W42" s="11">
        <v>248212</v>
      </c>
      <c r="X42" s="1">
        <v>433617.60663364857</v>
      </c>
      <c r="Y42" s="11">
        <v>2152028</v>
      </c>
      <c r="Z42" s="1">
        <v>2296606.8238680097</v>
      </c>
      <c r="AA42" t="e">
        <f>+F42+H42+J42+L42+N42+P42+R42+T42+V42+X42+Z42</f>
        <v>#VALUE!</v>
      </c>
    </row>
    <row r="43" spans="1:26" ht="12.75">
      <c r="A43" s="1" t="s">
        <v>23</v>
      </c>
      <c r="B43" s="1"/>
      <c r="C43" s="11"/>
      <c r="D43" s="1">
        <v>2021.0473145155127</v>
      </c>
      <c r="E43" s="11"/>
      <c r="F43" s="1">
        <v>0</v>
      </c>
      <c r="G43" s="11"/>
      <c r="H43" s="1">
        <v>1813.3346937374558</v>
      </c>
      <c r="I43" s="11"/>
      <c r="J43" s="1">
        <v>2035.3194421995813</v>
      </c>
      <c r="K43" s="11"/>
      <c r="L43" s="1">
        <v>3305.076233704742</v>
      </c>
      <c r="M43" s="11"/>
      <c r="N43" s="2" t="s">
        <v>32</v>
      </c>
      <c r="O43" s="11"/>
      <c r="P43" s="2" t="s">
        <v>32</v>
      </c>
      <c r="Q43" s="11"/>
      <c r="R43" s="1">
        <v>1537.001479890882</v>
      </c>
      <c r="S43" s="11"/>
      <c r="T43" s="2" t="s">
        <v>32</v>
      </c>
      <c r="U43" s="11"/>
      <c r="V43" s="2" t="s">
        <v>32</v>
      </c>
      <c r="W43" s="11"/>
      <c r="X43" s="1">
        <v>1748.458091264712</v>
      </c>
      <c r="Y43" s="11"/>
      <c r="Z43" s="1">
        <v>1768.7056557068827</v>
      </c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2"/>
      <c r="U44" s="11"/>
      <c r="V44" s="2"/>
      <c r="W44" s="11"/>
      <c r="X44" s="2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2"/>
      <c r="U45" s="11"/>
      <c r="V45" s="2"/>
      <c r="W45" s="11"/>
      <c r="X45" s="2"/>
      <c r="Y45" s="11"/>
      <c r="Z45" s="1"/>
    </row>
    <row r="46" spans="12:26" ht="12.75">
      <c r="L46" t="s">
        <v>188</v>
      </c>
      <c r="N46" t="s">
        <v>195</v>
      </c>
      <c r="Z46" s="1"/>
    </row>
    <row r="47" spans="16:26" ht="12.75">
      <c r="P47" t="s">
        <v>202</v>
      </c>
      <c r="Z47" s="1"/>
    </row>
    <row r="48" ht="12.75">
      <c r="Z48" s="1"/>
    </row>
    <row r="49" spans="1:26" ht="12.75">
      <c r="A49" s="1"/>
      <c r="B49" s="1"/>
      <c r="C49" s="11"/>
      <c r="D49" s="1" t="s">
        <v>138</v>
      </c>
      <c r="E49" s="11"/>
      <c r="F49" s="1" t="s">
        <v>137</v>
      </c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 t="s">
        <v>136</v>
      </c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2" t="s">
        <v>139</v>
      </c>
      <c r="E50" s="11"/>
      <c r="F50" s="1"/>
      <c r="G50" s="11"/>
      <c r="H50" s="1"/>
      <c r="I50" s="11"/>
      <c r="J50" s="1"/>
      <c r="K50" s="11"/>
      <c r="L50" s="1" t="s">
        <v>124</v>
      </c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1"/>
      <c r="F51" s="1"/>
      <c r="G51" s="11"/>
      <c r="H51" s="1"/>
      <c r="I51" s="11"/>
      <c r="J51" s="1"/>
      <c r="K51" s="11"/>
      <c r="L51" s="1" t="s">
        <v>187</v>
      </c>
      <c r="M51" s="11"/>
      <c r="N51" s="1"/>
      <c r="O51" s="11"/>
      <c r="P51" s="2" t="s">
        <v>128</v>
      </c>
      <c r="Q51" s="12"/>
      <c r="R51" s="1" t="s">
        <v>129</v>
      </c>
      <c r="S51" s="11"/>
      <c r="T51" s="2" t="s">
        <v>131</v>
      </c>
      <c r="U51" s="12"/>
      <c r="V51" s="2" t="s">
        <v>133</v>
      </c>
      <c r="W51" s="12"/>
      <c r="X51" s="2" t="s">
        <v>140</v>
      </c>
      <c r="Y51" s="12"/>
      <c r="Z51" s="1"/>
    </row>
    <row r="52" spans="1:26" ht="12.75">
      <c r="A52" s="1" t="s">
        <v>185</v>
      </c>
      <c r="B52" s="1"/>
      <c r="C52" s="11"/>
      <c r="D52" s="2" t="s">
        <v>184</v>
      </c>
      <c r="E52" s="12" t="s">
        <v>144</v>
      </c>
      <c r="F52" s="2" t="s">
        <v>7</v>
      </c>
      <c r="G52" s="11" t="s">
        <v>145</v>
      </c>
      <c r="H52" s="1" t="s">
        <v>8</v>
      </c>
      <c r="I52" s="11" t="s">
        <v>146</v>
      </c>
      <c r="J52" s="2" t="s">
        <v>9</v>
      </c>
      <c r="K52" s="11" t="s">
        <v>147</v>
      </c>
      <c r="L52" s="1" t="s">
        <v>125</v>
      </c>
      <c r="M52" s="11" t="s">
        <v>148</v>
      </c>
      <c r="N52" s="2" t="s">
        <v>126</v>
      </c>
      <c r="O52" s="12" t="s">
        <v>149</v>
      </c>
      <c r="P52" s="2" t="s">
        <v>127</v>
      </c>
      <c r="Q52" s="12" t="s">
        <v>150</v>
      </c>
      <c r="R52" s="1" t="s">
        <v>130</v>
      </c>
      <c r="S52" s="11" t="s">
        <v>151</v>
      </c>
      <c r="T52" s="2" t="s">
        <v>132</v>
      </c>
      <c r="U52" s="12" t="s">
        <v>152</v>
      </c>
      <c r="V52" s="2" t="s">
        <v>134</v>
      </c>
      <c r="W52" s="12" t="s">
        <v>153</v>
      </c>
      <c r="X52" s="2" t="s">
        <v>141</v>
      </c>
      <c r="Y52" s="12" t="s">
        <v>154</v>
      </c>
      <c r="Z52" s="2" t="s">
        <v>94</v>
      </c>
    </row>
    <row r="53" spans="1:26" ht="12.75">
      <c r="A53" s="1"/>
      <c r="B53" s="1"/>
      <c r="C53" s="11"/>
      <c r="D53" s="2"/>
      <c r="E53" s="12"/>
      <c r="F53" s="2"/>
      <c r="G53" s="11"/>
      <c r="H53" s="1"/>
      <c r="I53" s="11"/>
      <c r="J53" s="2"/>
      <c r="K53" s="11"/>
      <c r="L53" s="1"/>
      <c r="M53" s="11"/>
      <c r="N53" s="2"/>
      <c r="O53" s="12"/>
      <c r="P53" s="2"/>
      <c r="Q53" s="12"/>
      <c r="R53" s="1"/>
      <c r="S53" s="11"/>
      <c r="T53" s="2"/>
      <c r="U53" s="12"/>
      <c r="V53" s="2"/>
      <c r="W53" s="12"/>
      <c r="X53" s="2"/>
      <c r="Y53" s="12"/>
      <c r="Z53" s="2"/>
    </row>
    <row r="54" spans="1:26" ht="12.75">
      <c r="A54" s="1" t="s">
        <v>176</v>
      </c>
      <c r="B54" s="1"/>
      <c r="C54" s="1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7" ht="12.75">
      <c r="A55" s="1" t="s">
        <v>18</v>
      </c>
      <c r="B55" s="1"/>
      <c r="C55" s="11">
        <f>+E55+G55+I55+K55+M55+O55+Q55+S55+U55+W55+Y55</f>
        <v>137</v>
      </c>
      <c r="D55" s="1">
        <v>227.77160769129648</v>
      </c>
      <c r="E55" s="11">
        <v>0</v>
      </c>
      <c r="F55" s="1">
        <v>0</v>
      </c>
      <c r="G55" s="15">
        <v>25</v>
      </c>
      <c r="H55" s="1">
        <v>50.67567567567568</v>
      </c>
      <c r="I55" s="11">
        <v>10</v>
      </c>
      <c r="J55" s="1">
        <v>15.19736842105263</v>
      </c>
      <c r="K55" s="15">
        <v>23</v>
      </c>
      <c r="L55" s="1">
        <v>36.57560975609756</v>
      </c>
      <c r="M55" s="11">
        <v>2</v>
      </c>
      <c r="N55" s="1">
        <v>3.925925925925926</v>
      </c>
      <c r="O55" s="11">
        <v>11</v>
      </c>
      <c r="P55" s="1">
        <v>18.761682242990656</v>
      </c>
      <c r="Q55" s="11">
        <v>22</v>
      </c>
      <c r="R55" s="1">
        <v>42.52755905511811</v>
      </c>
      <c r="S55" s="11">
        <v>10</v>
      </c>
      <c r="T55" s="1">
        <v>14.816513761467892</v>
      </c>
      <c r="U55" s="11">
        <v>7</v>
      </c>
      <c r="V55" s="1">
        <v>9.41726618705036</v>
      </c>
      <c r="W55" s="11">
        <v>16</v>
      </c>
      <c r="X55" s="1">
        <v>26.156521739130437</v>
      </c>
      <c r="Y55" s="11">
        <v>11</v>
      </c>
      <c r="Z55" s="1">
        <v>13.643410852713178</v>
      </c>
      <c r="AA55">
        <f>+F55+H55+J55+L55+N55+P55+R55+T55+V55+X55+Z55</f>
        <v>231.6975336172224</v>
      </c>
    </row>
    <row r="56" spans="1:27" ht="12.75">
      <c r="A56" s="1" t="s">
        <v>20</v>
      </c>
      <c r="B56" s="1"/>
      <c r="C56" s="11">
        <f>+E56+G56+I56+K56+M56+O56+Q56+S56+U56+W56+Y56</f>
        <v>1422</v>
      </c>
      <c r="D56" s="1">
        <v>1644.9682807743418</v>
      </c>
      <c r="E56" s="11">
        <v>0</v>
      </c>
      <c r="F56" s="1">
        <v>0</v>
      </c>
      <c r="G56" s="15">
        <v>89</v>
      </c>
      <c r="H56" s="1">
        <v>130.48068893528185</v>
      </c>
      <c r="I56" s="11">
        <v>118</v>
      </c>
      <c r="J56" s="1">
        <v>127.89093620193844</v>
      </c>
      <c r="K56" s="15">
        <v>223</v>
      </c>
      <c r="L56" s="1">
        <v>254.34947933101927</v>
      </c>
      <c r="M56" s="11">
        <v>28</v>
      </c>
      <c r="N56" s="1">
        <v>54.40169133192389</v>
      </c>
      <c r="O56" s="11">
        <v>40</v>
      </c>
      <c r="P56" s="1">
        <v>52.9043183742591</v>
      </c>
      <c r="Q56" s="11">
        <v>381</v>
      </c>
      <c r="R56" s="1">
        <v>419.31721778791336</v>
      </c>
      <c r="S56" s="11">
        <v>149</v>
      </c>
      <c r="T56" s="1">
        <v>167.4492924528302</v>
      </c>
      <c r="U56" s="11">
        <v>70</v>
      </c>
      <c r="V56" s="1">
        <v>81.17435394177298</v>
      </c>
      <c r="W56" s="11">
        <v>95</v>
      </c>
      <c r="X56" s="1">
        <v>163.61111111111111</v>
      </c>
      <c r="Y56" s="11">
        <v>229</v>
      </c>
      <c r="Z56" s="1">
        <v>247.79088263821532</v>
      </c>
      <c r="AA56">
        <f>+F56+H56+J56+L56+N56+P56+R56+T56+V56+X56+Z56</f>
        <v>1699.3699721062655</v>
      </c>
    </row>
    <row r="57" spans="1:27" ht="12.75">
      <c r="A57" s="1" t="s">
        <v>21</v>
      </c>
      <c r="B57" s="1"/>
      <c r="C57" s="11">
        <f>+E57+G57+I57+K57+M57+O57+Q57+S57+U57+W57+Y57</f>
        <v>32061761</v>
      </c>
      <c r="D57" s="1">
        <v>37025268.53485907</v>
      </c>
      <c r="E57" s="11">
        <v>0</v>
      </c>
      <c r="F57" s="1">
        <v>0</v>
      </c>
      <c r="G57" s="15">
        <v>1621629</v>
      </c>
      <c r="H57" s="1">
        <v>2300307.4349980373</v>
      </c>
      <c r="I57" s="11">
        <v>2150620</v>
      </c>
      <c r="J57" s="1">
        <v>2322234.738328537</v>
      </c>
      <c r="K57" s="15">
        <v>4473585</v>
      </c>
      <c r="L57" s="1">
        <v>5254712.556942169</v>
      </c>
      <c r="M57" s="11">
        <v>163998</v>
      </c>
      <c r="N57" s="1">
        <v>303093.1737249118</v>
      </c>
      <c r="O57" s="11">
        <v>812254</v>
      </c>
      <c r="P57" s="1">
        <v>1031287.6446563903</v>
      </c>
      <c r="Q57" s="11">
        <v>11621109</v>
      </c>
      <c r="R57" s="1">
        <v>12914291.344667839</v>
      </c>
      <c r="S57" s="11">
        <v>3068733</v>
      </c>
      <c r="T57" s="1">
        <v>3459948.7946844227</v>
      </c>
      <c r="U57" s="11">
        <v>613348</v>
      </c>
      <c r="V57" s="1">
        <v>703140.206708958</v>
      </c>
      <c r="W57" s="11">
        <v>1465970</v>
      </c>
      <c r="X57" s="1">
        <v>2560997.8679384147</v>
      </c>
      <c r="Y57" s="11">
        <v>6070515</v>
      </c>
      <c r="Z57" s="1">
        <v>6478347.945934306</v>
      </c>
      <c r="AA57">
        <f>+F57+H57+J57+L57+N57+P57+R57+T57+V57+X57+Z57</f>
        <v>37328361.70858398</v>
      </c>
    </row>
    <row r="58" spans="1:26" ht="12.75">
      <c r="A58" s="1" t="s">
        <v>23</v>
      </c>
      <c r="B58" s="1"/>
      <c r="C58" s="11"/>
      <c r="D58" s="1">
        <v>1875.6830029082198</v>
      </c>
      <c r="E58" s="11"/>
      <c r="F58" s="1">
        <v>0</v>
      </c>
      <c r="G58" s="15"/>
      <c r="H58" s="1">
        <v>1469.123805323525</v>
      </c>
      <c r="I58" s="11"/>
      <c r="J58" s="1">
        <v>1513.1608796874605</v>
      </c>
      <c r="K58" s="15"/>
      <c r="L58" s="1">
        <v>1721.6182798181599</v>
      </c>
      <c r="M58" s="11"/>
      <c r="N58" s="1">
        <v>464.28270626678614</v>
      </c>
      <c r="O58" s="11"/>
      <c r="P58" s="1">
        <v>1624.4541030985877</v>
      </c>
      <c r="Q58" s="11"/>
      <c r="R58" s="1">
        <v>2566.531732387182</v>
      </c>
      <c r="S58" s="11"/>
      <c r="T58" s="1">
        <v>1721.8888297478059</v>
      </c>
      <c r="U58" s="11"/>
      <c r="V58" s="1">
        <v>721.841497719553</v>
      </c>
      <c r="W58" s="11"/>
      <c r="X58" s="1">
        <v>1304.4131755204148</v>
      </c>
      <c r="Y58" s="11"/>
      <c r="Z58" s="1">
        <v>2178.7013431647506</v>
      </c>
    </row>
    <row r="59" spans="1:26" ht="12.75">
      <c r="A59" s="1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 t="s">
        <v>67</v>
      </c>
      <c r="B60" s="1"/>
      <c r="C60" s="1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8" ht="12.75">
      <c r="A61" s="1" t="s">
        <v>18</v>
      </c>
      <c r="B61" s="1"/>
      <c r="C61" s="11">
        <f>+E61+G61+I61+K61+M61+O61+Q61+S61+U61+W61+Y61</f>
        <v>58</v>
      </c>
      <c r="D61" s="1">
        <v>65.87063793514076</v>
      </c>
      <c r="E61" s="11">
        <v>2</v>
      </c>
      <c r="F61" s="1">
        <v>3</v>
      </c>
      <c r="G61" s="15">
        <v>16</v>
      </c>
      <c r="H61" s="1">
        <v>32.432432432432435</v>
      </c>
      <c r="I61" s="11">
        <v>7</v>
      </c>
      <c r="J61" s="1">
        <v>10.63815789473684</v>
      </c>
      <c r="K61" s="11">
        <v>4</v>
      </c>
      <c r="L61" s="1">
        <v>6.360975609756098</v>
      </c>
      <c r="M61" s="15">
        <v>0</v>
      </c>
      <c r="N61" s="1">
        <v>0</v>
      </c>
      <c r="O61" s="11">
        <v>2</v>
      </c>
      <c r="P61" s="2" t="s">
        <v>32</v>
      </c>
      <c r="Q61" s="11">
        <v>8</v>
      </c>
      <c r="R61" s="1">
        <v>15.464566929133857</v>
      </c>
      <c r="S61" s="11">
        <v>2</v>
      </c>
      <c r="T61" s="2" t="s">
        <v>32</v>
      </c>
      <c r="U61" s="11">
        <v>3</v>
      </c>
      <c r="V61" s="1">
        <v>4.035971223021583</v>
      </c>
      <c r="W61" s="11">
        <v>4</v>
      </c>
      <c r="X61" s="1">
        <v>6.539130434782609</v>
      </c>
      <c r="Y61" s="11">
        <v>10</v>
      </c>
      <c r="Z61" s="1">
        <v>12.4031007751938</v>
      </c>
      <c r="AA61" t="e">
        <f>+F61+H61+J61+L61+N61+P61+R61+T61+V61+X61+Z61</f>
        <v>#VALUE!</v>
      </c>
      <c r="AB61" s="1" t="e">
        <f>+AB$82*AA61</f>
        <v>#VALUE!</v>
      </c>
    </row>
    <row r="62" spans="1:28" ht="12.75">
      <c r="A62" s="1" t="s">
        <v>20</v>
      </c>
      <c r="B62" s="1"/>
      <c r="C62" s="11">
        <f>+E62+G62+I62+K62+M62+O62+Q62+S62+U62+W62+Y62</f>
        <v>1030</v>
      </c>
      <c r="D62" s="1">
        <v>1115.150044098165</v>
      </c>
      <c r="E62" s="11">
        <v>8</v>
      </c>
      <c r="F62" s="1">
        <v>9</v>
      </c>
      <c r="G62" s="15">
        <v>117</v>
      </c>
      <c r="H62" s="1">
        <v>171.53079331941547</v>
      </c>
      <c r="I62" s="11">
        <v>646</v>
      </c>
      <c r="J62" s="1">
        <v>700.1486846309512</v>
      </c>
      <c r="K62" s="11">
        <v>21</v>
      </c>
      <c r="L62" s="1">
        <v>23.95219312085832</v>
      </c>
      <c r="M62" s="15">
        <v>0</v>
      </c>
      <c r="N62" s="1">
        <v>0</v>
      </c>
      <c r="O62" s="11">
        <v>1</v>
      </c>
      <c r="P62" s="2" t="s">
        <v>32</v>
      </c>
      <c r="Q62" s="11">
        <v>26</v>
      </c>
      <c r="R62" s="1">
        <v>28.614823261117447</v>
      </c>
      <c r="S62" s="11">
        <v>4</v>
      </c>
      <c r="T62" s="2" t="s">
        <v>32</v>
      </c>
      <c r="U62" s="11">
        <v>54</v>
      </c>
      <c r="V62" s="1">
        <v>62.620215897939154</v>
      </c>
      <c r="W62" s="11">
        <v>8</v>
      </c>
      <c r="X62" s="1">
        <v>13.777777777777779</v>
      </c>
      <c r="Y62" s="11">
        <v>145</v>
      </c>
      <c r="Z62" s="1">
        <v>156.89815712900096</v>
      </c>
      <c r="AA62" t="e">
        <f>+F62+H62+J62+L62+N62+P62+R62+T62+V62+X62+Z62</f>
        <v>#VALUE!</v>
      </c>
      <c r="AB62" s="1" t="e">
        <f>+AB$83*AA62</f>
        <v>#VALUE!</v>
      </c>
    </row>
    <row r="63" spans="1:28" ht="12.75">
      <c r="A63" s="1" t="s">
        <v>21</v>
      </c>
      <c r="B63" s="1"/>
      <c r="C63" s="11">
        <f>+E63+G63+I63+K63+M63+O63+Q63+S63+U63+W63+Y63</f>
        <v>28251397</v>
      </c>
      <c r="D63" s="1">
        <v>30379590.333599016</v>
      </c>
      <c r="E63" s="11">
        <v>220921</v>
      </c>
      <c r="F63" s="1">
        <v>226121</v>
      </c>
      <c r="G63" s="15">
        <v>2747632</v>
      </c>
      <c r="H63" s="1">
        <v>3897561.2290101666</v>
      </c>
      <c r="I63" s="11">
        <v>19933304</v>
      </c>
      <c r="J63" s="1">
        <v>21523937.74746965</v>
      </c>
      <c r="K63" s="11">
        <v>258042</v>
      </c>
      <c r="L63" s="1">
        <v>303098.41829728754</v>
      </c>
      <c r="M63" s="15">
        <v>0</v>
      </c>
      <c r="N63" s="1">
        <v>0</v>
      </c>
      <c r="O63" s="11">
        <v>24000</v>
      </c>
      <c r="P63" s="2" t="s">
        <v>32</v>
      </c>
      <c r="Q63" s="11">
        <v>417075</v>
      </c>
      <c r="R63" s="1">
        <v>463486.5796867871</v>
      </c>
      <c r="S63" s="11">
        <v>124038</v>
      </c>
      <c r="T63" s="2" t="s">
        <v>32</v>
      </c>
      <c r="U63" s="11">
        <v>253142</v>
      </c>
      <c r="V63" s="1">
        <v>290201.1879173308</v>
      </c>
      <c r="W63" s="11">
        <v>183229</v>
      </c>
      <c r="X63" s="1">
        <v>320094.5983509129</v>
      </c>
      <c r="Y63" s="11">
        <v>4090014</v>
      </c>
      <c r="Z63" s="1">
        <v>4364791.750904586</v>
      </c>
      <c r="AA63" t="e">
        <f>+F63+H63+J63+L63+N63+P63+R63+T63+V63+X63+Z63</f>
        <v>#VALUE!</v>
      </c>
      <c r="AB63" s="1" t="e">
        <f>+AB$84*AA63</f>
        <v>#VALUE!</v>
      </c>
    </row>
    <row r="64" spans="1:26" ht="12.75">
      <c r="A64" s="1" t="s">
        <v>23</v>
      </c>
      <c r="B64" s="1"/>
      <c r="C64" s="11"/>
      <c r="D64" s="1">
        <v>2270.2169463188957</v>
      </c>
      <c r="E64" s="11"/>
      <c r="F64" s="1">
        <v>2093.712962962963</v>
      </c>
      <c r="G64" s="15"/>
      <c r="H64" s="1">
        <v>1893.5187251152124</v>
      </c>
      <c r="I64" s="11"/>
      <c r="J64" s="1">
        <v>2561.8293918544523</v>
      </c>
      <c r="K64" s="11"/>
      <c r="L64" s="1">
        <v>1054.5256293369782</v>
      </c>
      <c r="M64" s="15"/>
      <c r="N64" s="1">
        <v>0</v>
      </c>
      <c r="O64" s="11"/>
      <c r="P64" s="2" t="s">
        <v>32</v>
      </c>
      <c r="Q64" s="11"/>
      <c r="R64" s="1">
        <v>1349.7857836867618</v>
      </c>
      <c r="S64" s="11"/>
      <c r="T64" s="2" t="s">
        <v>32</v>
      </c>
      <c r="U64" s="11"/>
      <c r="V64" s="1">
        <v>386.1920943527139</v>
      </c>
      <c r="W64" s="11"/>
      <c r="X64" s="1">
        <v>1936.0560384127796</v>
      </c>
      <c r="Y64" s="11"/>
      <c r="Z64" s="1">
        <v>2318.2722637695238</v>
      </c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 t="s">
        <v>76</v>
      </c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7" ht="12.75">
      <c r="A67" s="1" t="s">
        <v>18</v>
      </c>
      <c r="B67" s="1"/>
      <c r="C67" s="11">
        <f>+E67+G67+I67+K67+M67+O67+Q67+S67+U67+W67+Y67</f>
        <v>151</v>
      </c>
      <c r="D67" s="1">
        <v>254.5419665743937</v>
      </c>
      <c r="E67" s="11">
        <v>0</v>
      </c>
      <c r="F67" s="1">
        <v>0</v>
      </c>
      <c r="G67" s="11">
        <v>38</v>
      </c>
      <c r="H67" s="1">
        <v>77.02702702702703</v>
      </c>
      <c r="I67" s="11">
        <v>19</v>
      </c>
      <c r="J67" s="1">
        <v>28.875</v>
      </c>
      <c r="K67" s="11">
        <v>28</v>
      </c>
      <c r="L67" s="1">
        <v>44.52682926829269</v>
      </c>
      <c r="M67" s="11">
        <v>0</v>
      </c>
      <c r="N67" s="1">
        <v>0</v>
      </c>
      <c r="O67" s="11">
        <v>15</v>
      </c>
      <c r="P67" s="1">
        <v>25.58411214953271</v>
      </c>
      <c r="Q67" s="11">
        <v>14</v>
      </c>
      <c r="R67" s="1">
        <v>27.062992125984252</v>
      </c>
      <c r="S67" s="11">
        <v>6</v>
      </c>
      <c r="T67" s="1">
        <v>8.889908256880734</v>
      </c>
      <c r="U67" s="11">
        <v>13</v>
      </c>
      <c r="V67" s="1">
        <v>17.489208633093526</v>
      </c>
      <c r="W67" s="11">
        <v>7</v>
      </c>
      <c r="X67" s="1">
        <v>11.443478260869567</v>
      </c>
      <c r="Y67" s="11">
        <v>11</v>
      </c>
      <c r="Z67" s="1">
        <v>13.643410852713178</v>
      </c>
      <c r="AA67">
        <f>+F67+H67+J67+L67+N67+P67+R67+T67+V67+X67+Z67</f>
        <v>254.5419665743937</v>
      </c>
    </row>
    <row r="68" spans="1:27" ht="12.75">
      <c r="A68" s="1" t="s">
        <v>20</v>
      </c>
      <c r="B68" s="1"/>
      <c r="C68" s="11">
        <f>+E68+G68+I68+K68+M68+O68+Q68+S68+U68+W68+Y68</f>
        <v>1991</v>
      </c>
      <c r="D68" s="1">
        <v>2331.9800738234503</v>
      </c>
      <c r="E68" s="11">
        <v>0</v>
      </c>
      <c r="F68" s="1">
        <v>0</v>
      </c>
      <c r="G68" s="11">
        <v>255</v>
      </c>
      <c r="H68" s="1">
        <v>373.8491649269311</v>
      </c>
      <c r="I68" s="11">
        <v>702</v>
      </c>
      <c r="J68" s="1">
        <v>760.8426882522101</v>
      </c>
      <c r="K68" s="11">
        <v>387</v>
      </c>
      <c r="L68" s="1">
        <v>441.4047017986747</v>
      </c>
      <c r="M68" s="11">
        <v>0</v>
      </c>
      <c r="N68" s="1">
        <v>0</v>
      </c>
      <c r="O68" s="11">
        <v>43</v>
      </c>
      <c r="P68" s="1">
        <v>56.87214225232853</v>
      </c>
      <c r="Q68" s="11">
        <v>26</v>
      </c>
      <c r="R68" s="1">
        <v>28.614823261117447</v>
      </c>
      <c r="S68" s="11">
        <v>54</v>
      </c>
      <c r="T68" s="1">
        <v>60.68632075471698</v>
      </c>
      <c r="U68" s="11">
        <v>204</v>
      </c>
      <c r="V68" s="1">
        <v>236.56526005888125</v>
      </c>
      <c r="W68" s="11">
        <v>42</v>
      </c>
      <c r="X68" s="1">
        <v>72.33333333333334</v>
      </c>
      <c r="Y68" s="11">
        <v>278</v>
      </c>
      <c r="Z68" s="1">
        <v>300.81163918525704</v>
      </c>
      <c r="AA68">
        <f>+F68+H68+J68+L68+N68+P68+R68+T68+V68+X68+Z68</f>
        <v>2331.9800738234503</v>
      </c>
    </row>
    <row r="69" spans="1:27" ht="12.75">
      <c r="A69" s="1" t="s">
        <v>21</v>
      </c>
      <c r="B69" s="1"/>
      <c r="C69" s="11">
        <f>+E69+G69+I69+K69+M69+O69+Q69+S69+U69+W69+Y69</f>
        <v>57985341</v>
      </c>
      <c r="D69" s="1">
        <v>66778208.21208574</v>
      </c>
      <c r="E69" s="11">
        <v>0</v>
      </c>
      <c r="F69" s="1">
        <v>0</v>
      </c>
      <c r="G69" s="11">
        <v>6796748</v>
      </c>
      <c r="H69" s="1">
        <v>9641298.93965145</v>
      </c>
      <c r="I69" s="11">
        <v>29106723</v>
      </c>
      <c r="J69" s="1">
        <v>31429375.375243515</v>
      </c>
      <c r="K69" s="11">
        <v>8442379</v>
      </c>
      <c r="L69" s="1">
        <v>9916493.135095201</v>
      </c>
      <c r="M69" s="11">
        <v>0</v>
      </c>
      <c r="N69" s="1">
        <v>0</v>
      </c>
      <c r="O69" s="11">
        <v>1019069</v>
      </c>
      <c r="P69" s="1">
        <v>1293872.690996096</v>
      </c>
      <c r="Q69" s="11">
        <v>557215</v>
      </c>
      <c r="R69" s="1">
        <v>619221.1820420142</v>
      </c>
      <c r="S69" s="11">
        <v>1252700</v>
      </c>
      <c r="T69" s="1">
        <v>1412399.793367874</v>
      </c>
      <c r="U69" s="11">
        <v>1628279</v>
      </c>
      <c r="V69" s="1">
        <v>1866653.8941022966</v>
      </c>
      <c r="W69" s="11">
        <v>1176523</v>
      </c>
      <c r="X69" s="1">
        <v>2055344.1711498238</v>
      </c>
      <c r="Y69" s="11">
        <v>8005705</v>
      </c>
      <c r="Z69" s="1">
        <v>8543549.03043745</v>
      </c>
      <c r="AA69">
        <f>+F69+H69+J69+L69+N69+P69+R69+T69+V69+X69+Z69</f>
        <v>66778208.21208574</v>
      </c>
    </row>
    <row r="70" spans="1:26" ht="12.75">
      <c r="A70" s="1" t="s">
        <v>23</v>
      </c>
      <c r="B70" s="1"/>
      <c r="C70" s="11"/>
      <c r="D70" s="1">
        <v>2386.319997673266</v>
      </c>
      <c r="E70" s="11"/>
      <c r="F70" s="1">
        <v>0</v>
      </c>
      <c r="G70" s="11"/>
      <c r="H70" s="1">
        <v>2149.1062537516173</v>
      </c>
      <c r="I70" s="11"/>
      <c r="J70" s="1">
        <v>3442.3865209511237</v>
      </c>
      <c r="K70" s="11"/>
      <c r="L70" s="1">
        <v>1872.146863314362</v>
      </c>
      <c r="M70" s="11"/>
      <c r="N70" s="1">
        <v>0</v>
      </c>
      <c r="O70" s="11"/>
      <c r="P70" s="1">
        <v>1895.879423203195</v>
      </c>
      <c r="Q70" s="11"/>
      <c r="R70" s="1">
        <v>1803.3228686855336</v>
      </c>
      <c r="S70" s="11"/>
      <c r="T70" s="1">
        <v>1939.4812754653226</v>
      </c>
      <c r="U70" s="11"/>
      <c r="V70" s="1">
        <v>657.554245862109</v>
      </c>
      <c r="W70" s="11"/>
      <c r="X70" s="1">
        <v>2367.9080312785986</v>
      </c>
      <c r="Y70" s="11"/>
      <c r="Z70" s="1">
        <v>2366.8047590560604</v>
      </c>
    </row>
    <row r="71" spans="1:26" ht="12.75">
      <c r="A71" s="1"/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 t="s">
        <v>177</v>
      </c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7" ht="12.75">
      <c r="A73" s="1" t="s">
        <v>18</v>
      </c>
      <c r="B73" s="1"/>
      <c r="C73" s="11">
        <f>+E73+G73+I73+K73+M73+O73+Q73+S73+U73+W73+Y73</f>
        <v>55</v>
      </c>
      <c r="D73" s="1">
        <v>83.68936167006343</v>
      </c>
      <c r="E73" s="11">
        <v>0</v>
      </c>
      <c r="F73" s="1">
        <v>0</v>
      </c>
      <c r="G73" s="11">
        <v>21</v>
      </c>
      <c r="H73" s="1">
        <v>42.56756756756757</v>
      </c>
      <c r="I73" s="11">
        <v>3</v>
      </c>
      <c r="J73" s="7" t="s">
        <v>32</v>
      </c>
      <c r="K73" s="11">
        <v>10</v>
      </c>
      <c r="L73" s="1">
        <v>15.902439024390244</v>
      </c>
      <c r="M73" s="11">
        <v>0</v>
      </c>
      <c r="N73" s="1">
        <v>0</v>
      </c>
      <c r="O73" s="11">
        <v>2</v>
      </c>
      <c r="P73" s="7" t="s">
        <v>32</v>
      </c>
      <c r="Q73" s="11">
        <v>7</v>
      </c>
      <c r="R73" s="1">
        <v>13.531496062992126</v>
      </c>
      <c r="S73" s="11">
        <v>1</v>
      </c>
      <c r="T73" s="7" t="s">
        <v>32</v>
      </c>
      <c r="U73" s="11">
        <v>5</v>
      </c>
      <c r="V73" s="1">
        <v>6.726618705035971</v>
      </c>
      <c r="W73" s="11">
        <v>2</v>
      </c>
      <c r="X73" s="7" t="s">
        <v>32</v>
      </c>
      <c r="Y73" s="11">
        <v>4</v>
      </c>
      <c r="Z73" s="1">
        <v>4.961240310077519</v>
      </c>
      <c r="AA73" t="e">
        <f>+F73+H73+J73+L73+N73+P73+R73+T73+V73+X73+Z73</f>
        <v>#VALUE!</v>
      </c>
    </row>
    <row r="74" spans="1:27" ht="12.75">
      <c r="A74" s="1" t="s">
        <v>20</v>
      </c>
      <c r="B74" s="1"/>
      <c r="C74" s="11">
        <f>+E74+G74+I74+K74+M74+O74+Q74+S74+U74+W74+Y74</f>
        <v>548</v>
      </c>
      <c r="D74" s="1">
        <v>613.9124717127411</v>
      </c>
      <c r="E74" s="11">
        <v>0</v>
      </c>
      <c r="F74" s="1">
        <v>0</v>
      </c>
      <c r="G74" s="11">
        <v>154</v>
      </c>
      <c r="H74" s="1">
        <v>225.77557411273486</v>
      </c>
      <c r="I74" s="11">
        <v>40</v>
      </c>
      <c r="J74" s="7" t="s">
        <v>32</v>
      </c>
      <c r="K74" s="11">
        <v>102</v>
      </c>
      <c r="L74" s="1">
        <v>116.33922372988326</v>
      </c>
      <c r="M74" s="11">
        <v>0</v>
      </c>
      <c r="N74" s="1">
        <v>0</v>
      </c>
      <c r="O74" s="11">
        <v>1</v>
      </c>
      <c r="P74" s="7" t="s">
        <v>32</v>
      </c>
      <c r="Q74" s="11">
        <v>72</v>
      </c>
      <c r="R74" s="1">
        <v>79.24104903078678</v>
      </c>
      <c r="S74" s="11">
        <v>3</v>
      </c>
      <c r="T74" s="7" t="s">
        <v>32</v>
      </c>
      <c r="U74" s="11">
        <v>97</v>
      </c>
      <c r="V74" s="1">
        <v>112.48446189074255</v>
      </c>
      <c r="W74" s="11">
        <v>5</v>
      </c>
      <c r="X74" s="7" t="s">
        <v>32</v>
      </c>
      <c r="Y74" s="11">
        <v>74</v>
      </c>
      <c r="Z74" s="1">
        <v>80.0721629485936</v>
      </c>
      <c r="AA74" t="e">
        <f>+F74+H74+J74+L74+N74+P74+R74+T74+V74+X74+Z74</f>
        <v>#VALUE!</v>
      </c>
    </row>
    <row r="75" spans="1:27" ht="12.75">
      <c r="A75" s="1" t="s">
        <v>21</v>
      </c>
      <c r="B75" s="1"/>
      <c r="C75" s="11">
        <f>+E75+G75+I75+K75+M75+O75+Q75+S75+U75+W75+Y75</f>
        <v>13320293</v>
      </c>
      <c r="D75" s="1">
        <v>14775264.973153051</v>
      </c>
      <c r="E75" s="11">
        <v>0</v>
      </c>
      <c r="F75" s="1">
        <v>0</v>
      </c>
      <c r="G75" s="11">
        <v>3613288</v>
      </c>
      <c r="H75" s="1">
        <v>5125508.51716958</v>
      </c>
      <c r="I75" s="11">
        <v>1022085</v>
      </c>
      <c r="J75" s="7" t="s">
        <v>32</v>
      </c>
      <c r="K75" s="11">
        <v>2932967</v>
      </c>
      <c r="L75" s="1">
        <v>3445089.0111615183</v>
      </c>
      <c r="M75" s="11">
        <v>0</v>
      </c>
      <c r="N75" s="1">
        <v>0</v>
      </c>
      <c r="O75" s="11">
        <v>30000</v>
      </c>
      <c r="P75" s="7" t="s">
        <v>32</v>
      </c>
      <c r="Q75" s="11">
        <v>2855292</v>
      </c>
      <c r="R75" s="1">
        <v>3173025.2906240984</v>
      </c>
      <c r="S75" s="11">
        <v>56466</v>
      </c>
      <c r="T75" s="7" t="s">
        <v>32</v>
      </c>
      <c r="U75" s="11">
        <v>1098724</v>
      </c>
      <c r="V75" s="1">
        <v>1259573.71749169</v>
      </c>
      <c r="W75" s="11">
        <v>50960</v>
      </c>
      <c r="X75" s="7" t="s">
        <v>32</v>
      </c>
      <c r="Y75" s="11">
        <v>1660511</v>
      </c>
      <c r="Z75" s="1">
        <v>1772068.4367061642</v>
      </c>
      <c r="AA75" t="e">
        <f>+F75+H75+J75+L75+N75+P75+R75+T75+V75+X75+Z75</f>
        <v>#VALUE!</v>
      </c>
    </row>
    <row r="76" spans="1:26" ht="12.75">
      <c r="A76" s="1" t="s">
        <v>23</v>
      </c>
      <c r="B76" s="1"/>
      <c r="C76" s="11"/>
      <c r="D76" s="1">
        <v>2005.6150311802403</v>
      </c>
      <c r="E76" s="11"/>
      <c r="F76" s="1">
        <v>0</v>
      </c>
      <c r="G76" s="11"/>
      <c r="H76" s="1">
        <v>1891.8154075908055</v>
      </c>
      <c r="I76" s="11"/>
      <c r="J76" s="7" t="s">
        <v>32</v>
      </c>
      <c r="K76" s="11"/>
      <c r="L76" s="1">
        <v>2467.7038553798043</v>
      </c>
      <c r="M76" s="11"/>
      <c r="N76" s="1">
        <v>0</v>
      </c>
      <c r="O76" s="11"/>
      <c r="P76" s="7" t="s">
        <v>32</v>
      </c>
      <c r="Q76" s="11"/>
      <c r="R76" s="1">
        <v>3336.8913896627328</v>
      </c>
      <c r="S76" s="11"/>
      <c r="T76" s="7" t="s">
        <v>32</v>
      </c>
      <c r="U76" s="11"/>
      <c r="V76" s="1">
        <v>933.1464514591715</v>
      </c>
      <c r="W76" s="11"/>
      <c r="X76" s="7" t="s">
        <v>32</v>
      </c>
      <c r="Y76" s="11"/>
      <c r="Z76" s="1">
        <v>1844.2410481695051</v>
      </c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 t="s">
        <v>183</v>
      </c>
      <c r="B78" s="1"/>
      <c r="C78" s="1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1"/>
      <c r="F79" s="1"/>
      <c r="G79" s="11">
        <v>21</v>
      </c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1"/>
      <c r="F80" s="1"/>
      <c r="G80" s="11">
        <v>76</v>
      </c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5:26" ht="12.75">
      <c r="E81" s="10" t="s">
        <v>178</v>
      </c>
      <c r="F81" t="s">
        <v>179</v>
      </c>
      <c r="G81" s="11">
        <v>1709207</v>
      </c>
      <c r="H81" t="s">
        <v>179</v>
      </c>
      <c r="I81" s="10" t="s">
        <v>178</v>
      </c>
      <c r="J81" t="s">
        <v>179</v>
      </c>
      <c r="K81" s="10" t="s">
        <v>178</v>
      </c>
      <c r="L81" t="s">
        <v>179</v>
      </c>
      <c r="M81" s="10" t="s">
        <v>178</v>
      </c>
      <c r="N81" t="s">
        <v>179</v>
      </c>
      <c r="O81" s="10" t="s">
        <v>178</v>
      </c>
      <c r="P81" t="s">
        <v>179</v>
      </c>
      <c r="Q81" s="10" t="s">
        <v>178</v>
      </c>
      <c r="R81" t="s">
        <v>179</v>
      </c>
      <c r="S81" s="10" t="s">
        <v>178</v>
      </c>
      <c r="T81" t="s">
        <v>179</v>
      </c>
      <c r="U81" s="10" t="s">
        <v>178</v>
      </c>
      <c r="V81" t="s">
        <v>179</v>
      </c>
      <c r="W81" s="10" t="s">
        <v>178</v>
      </c>
      <c r="X81" t="s">
        <v>179</v>
      </c>
      <c r="Y81" s="10" t="s">
        <v>178</v>
      </c>
      <c r="Z81" t="s">
        <v>179</v>
      </c>
    </row>
    <row r="82" spans="1:28" ht="12.75">
      <c r="A82" t="s">
        <v>143</v>
      </c>
      <c r="E82" s="10">
        <f>+E16+E22+E28+E34+E40+E55+E61+E67+E73</f>
        <v>2</v>
      </c>
      <c r="F82" s="4">
        <f>F10/E10</f>
        <v>1.5</v>
      </c>
      <c r="G82" s="10">
        <v>287</v>
      </c>
      <c r="H82" s="4">
        <f>H10/G10</f>
        <v>2.027027027027027</v>
      </c>
      <c r="I82" s="10">
        <v>163</v>
      </c>
      <c r="J82" s="4">
        <f>J10/I10</f>
        <v>1.519736842105263</v>
      </c>
      <c r="K82" s="10">
        <v>427</v>
      </c>
      <c r="L82" s="4">
        <f>L10/K10</f>
        <v>1.5902439024390245</v>
      </c>
      <c r="M82" s="10">
        <v>36</v>
      </c>
      <c r="N82" s="4">
        <f>N10/M10</f>
        <v>1.962962962962963</v>
      </c>
      <c r="O82" s="10">
        <v>174</v>
      </c>
      <c r="P82" s="4">
        <f>P10/O10</f>
        <v>1.705607476635514</v>
      </c>
      <c r="Q82" s="10">
        <v>246</v>
      </c>
      <c r="R82" s="4">
        <f>R10/Q10</f>
        <v>1.9330708661417322</v>
      </c>
      <c r="S82" s="10">
        <v>198</v>
      </c>
      <c r="T82" s="4">
        <f>T10/S10</f>
        <v>1.481651376146789</v>
      </c>
      <c r="U82" s="10">
        <v>144</v>
      </c>
      <c r="V82" s="4">
        <f>V10/U10</f>
        <v>1.3453237410071943</v>
      </c>
      <c r="W82" s="10">
        <v>128</v>
      </c>
      <c r="X82" s="4">
        <f>X10/W10</f>
        <v>1.6347826086956523</v>
      </c>
      <c r="Y82" s="10">
        <v>132</v>
      </c>
      <c r="Z82" s="4">
        <f>Z10/Y10</f>
        <v>1.2403100775193798</v>
      </c>
      <c r="AB82" s="4"/>
    </row>
    <row r="83" spans="5:28" ht="12.75">
      <c r="E83" s="10">
        <f>+E17+E23+E29+E35+E41+E56+E62+E68+E74</f>
        <v>8</v>
      </c>
      <c r="F83" s="4">
        <f aca="true" t="shared" si="0" ref="F83:H84">F11/E11</f>
        <v>1.125</v>
      </c>
      <c r="G83" s="10">
        <v>1564</v>
      </c>
      <c r="H83" s="4">
        <f t="shared" si="0"/>
        <v>1.4660751565762005</v>
      </c>
      <c r="I83" s="10">
        <v>7712</v>
      </c>
      <c r="J83" s="4">
        <f>J11/I11</f>
        <v>1.0838214932367665</v>
      </c>
      <c r="K83" s="10">
        <v>5996</v>
      </c>
      <c r="L83" s="4">
        <f>L11/K11</f>
        <v>1.140580624802777</v>
      </c>
      <c r="M83" s="10">
        <v>505</v>
      </c>
      <c r="N83" s="4">
        <f>N11/M11</f>
        <v>1.9429175475687104</v>
      </c>
      <c r="O83" s="10">
        <v>918</v>
      </c>
      <c r="P83" s="4">
        <f>P11/O11</f>
        <v>1.3226079593564775</v>
      </c>
      <c r="Q83" s="10">
        <v>6146</v>
      </c>
      <c r="R83" s="4">
        <f>R11/Q11</f>
        <v>1.1005701254275941</v>
      </c>
      <c r="S83" s="10">
        <v>2910</v>
      </c>
      <c r="T83" s="4">
        <f>T11/S11</f>
        <v>1.1238207547169812</v>
      </c>
      <c r="U83" s="10">
        <v>2940</v>
      </c>
      <c r="V83" s="4">
        <f>V11/U11</f>
        <v>1.159633627739614</v>
      </c>
      <c r="W83" s="10">
        <v>826</v>
      </c>
      <c r="X83" s="4">
        <f>X11/W11</f>
        <v>1.7222222222222223</v>
      </c>
      <c r="Y83" s="10">
        <v>9739</v>
      </c>
      <c r="Z83" s="4">
        <f>Z11/Y11</f>
        <v>1.0820562560620757</v>
      </c>
      <c r="AB83" s="4"/>
    </row>
    <row r="84" spans="5:28" ht="12.75">
      <c r="E84" s="10">
        <f>+E18+E24+E30+E36+E42+E57+E63+E69+E75</f>
        <v>220921</v>
      </c>
      <c r="F84" s="4">
        <f t="shared" si="0"/>
        <v>1.0235378257386125</v>
      </c>
      <c r="G84" s="10">
        <v>33454230</v>
      </c>
      <c r="H84" s="4">
        <f t="shared" si="0"/>
        <v>1.4185164639988785</v>
      </c>
      <c r="I84" s="10">
        <v>222775729</v>
      </c>
      <c r="J84" s="4">
        <f>J12/I12</f>
        <v>1.079797797067142</v>
      </c>
      <c r="K84" s="10">
        <v>108701424</v>
      </c>
      <c r="L84" s="4">
        <f>L12/K12</f>
        <v>1.1746088555246337</v>
      </c>
      <c r="M84" s="10">
        <v>15274362</v>
      </c>
      <c r="N84" s="4">
        <f>N12/M12</f>
        <v>1.8481516465134442</v>
      </c>
      <c r="O84" s="10">
        <v>21631126</v>
      </c>
      <c r="P84" s="4">
        <f>P12/O12</f>
        <v>1.2696615155559594</v>
      </c>
      <c r="Q84" s="10">
        <v>133366530</v>
      </c>
      <c r="R84" s="4">
        <f>R12/Q12</f>
        <v>1.1112787380849658</v>
      </c>
      <c r="S84" s="10">
        <v>63203801</v>
      </c>
      <c r="T84" s="4">
        <f>T12/S12</f>
        <v>1.1274844682428946</v>
      </c>
      <c r="U84" s="10">
        <v>24415657</v>
      </c>
      <c r="V84" s="4">
        <f>V12/U12</f>
        <v>1.146396836231565</v>
      </c>
      <c r="W84" s="10">
        <v>14734909</v>
      </c>
      <c r="X84" s="4">
        <f>X12/W12</f>
        <v>1.7469647181991546</v>
      </c>
      <c r="Y84" s="10">
        <v>244515302</v>
      </c>
      <c r="Z84" s="4">
        <f>Z12/Y12</f>
        <v>1.0671825942171802</v>
      </c>
      <c r="AB84" s="4"/>
    </row>
    <row r="86" spans="5:25" ht="12.75">
      <c r="E86" s="10" t="s">
        <v>143</v>
      </c>
      <c r="G86" s="10" t="s">
        <v>143</v>
      </c>
      <c r="I86" s="10" t="s">
        <v>143</v>
      </c>
      <c r="K86" s="10" t="s">
        <v>143</v>
      </c>
      <c r="M86" s="10" t="s">
        <v>143</v>
      </c>
      <c r="O86" s="10" t="s">
        <v>143</v>
      </c>
      <c r="Q86" s="10" t="s">
        <v>143</v>
      </c>
      <c r="S86" s="10" t="s">
        <v>143</v>
      </c>
      <c r="U86" s="10" t="s">
        <v>143</v>
      </c>
      <c r="W86" s="10" t="s">
        <v>143</v>
      </c>
      <c r="Y86" s="10" t="s">
        <v>143</v>
      </c>
    </row>
    <row r="87" spans="5:25" ht="12.75">
      <c r="E87" s="11">
        <f>+F16+F22+F28+F34+F40+F55+F61+F67+F73</f>
        <v>3</v>
      </c>
      <c r="G87" s="11">
        <f>+H16+H22+H28+H34+H40+H55+H61+H67+H73</f>
        <v>600.0000000000001</v>
      </c>
      <c r="I87" s="11" t="e">
        <f>+J16+J22+J28+J34+J40+J55+J61+J67+J73</f>
        <v>#VALUE!</v>
      </c>
      <c r="K87" s="11">
        <f>+L16+L22+L28+L34+L40+L55+L61+L67+L73</f>
        <v>652.0000000000001</v>
      </c>
      <c r="M87" s="11" t="e">
        <f>+N16+N22+N28+N34+N40+N55+N61+N67+N73</f>
        <v>#VALUE!</v>
      </c>
      <c r="O87" s="11" t="e">
        <f>+P16+P22+P28+P34+P40+P55+P61+P67+P73</f>
        <v>#VALUE!</v>
      </c>
      <c r="Q87" s="11">
        <f>+R16+R22+R28+R34+R40+R55+R61+R67+R73</f>
        <v>490.99999999999994</v>
      </c>
      <c r="S87" s="11" t="e">
        <f>+T16+T22+T28+T34+T40+T55+T61+T67+T73</f>
        <v>#VALUE!</v>
      </c>
      <c r="U87" s="11" t="e">
        <f>+V16+V22+V28+V34+V40+V55+V61+V67+V73</f>
        <v>#VALUE!</v>
      </c>
      <c r="W87" s="11" t="e">
        <f>+X16+X22+X28+X34+X40+X55+X61+X67+X73</f>
        <v>#VALUE!</v>
      </c>
      <c r="Y87" s="11">
        <f>+Z16+Z22+Z28+Z34+Z40+Z55+Z61+Z67+Z73</f>
        <v>160</v>
      </c>
    </row>
    <row r="88" spans="5:25" ht="12.75">
      <c r="E88" s="11">
        <f aca="true" t="shared" si="1" ref="E88:G89">+F17+F23+F29+F35+F41+F56+F62+F68+F74</f>
        <v>9</v>
      </c>
      <c r="G88" s="11">
        <f t="shared" si="1"/>
        <v>2809.0000000000005</v>
      </c>
      <c r="I88" s="11" t="e">
        <f>+J17+J23+J29+J35+J41+J56+J62+J68+J74</f>
        <v>#VALUE!</v>
      </c>
      <c r="K88" s="11">
        <f>+L17+L23+L29+L35+L41+L56+L62+L68+L74</f>
        <v>7229.000000000001</v>
      </c>
      <c r="M88" s="11" t="e">
        <f>+N17+N23+N29+N35+N41+N56+N62+N68+N74</f>
        <v>#VALUE!</v>
      </c>
      <c r="O88" s="11" t="e">
        <f>+P17+P23+P29+P35+P41+P56+P62+P68+P74</f>
        <v>#VALUE!</v>
      </c>
      <c r="Q88" s="11">
        <f>+R17+R23+R29+R35+R41+R56+R62+R68+R74</f>
        <v>4826</v>
      </c>
      <c r="S88" s="11" t="e">
        <f>+T17+T23+T29+T35+T41+T56+T62+T68+T74</f>
        <v>#VALUE!</v>
      </c>
      <c r="U88" s="11" t="e">
        <f>+V17+V23+V29+V35+V41+V56+V62+V68+V74</f>
        <v>#VALUE!</v>
      </c>
      <c r="W88" s="11" t="e">
        <f>+X17+X23+X29+X35+X41+X56+X62+X68+X74</f>
        <v>#VALUE!</v>
      </c>
      <c r="Y88" s="11">
        <f>+Z17+Z23+Z29+Z35+Z41+Z56+Z62+Z68+Z74</f>
        <v>11156</v>
      </c>
    </row>
    <row r="89" spans="5:25" ht="12.75">
      <c r="E89" s="11">
        <f t="shared" si="1"/>
        <v>226121</v>
      </c>
      <c r="G89" s="11">
        <f t="shared" si="1"/>
        <v>67719088</v>
      </c>
      <c r="I89" s="11" t="e">
        <f>+J18+J24+J30+J36+J42+J57+J63+J69+J75</f>
        <v>#VALUE!</v>
      </c>
      <c r="K89" s="11">
        <f>+L18+L24+L30+L36+L42+L57+L63+L69+L75</f>
        <v>153858516</v>
      </c>
      <c r="M89" s="11" t="e">
        <f>+N18+N24+N30+N36+N42+N57+N63+N69+N75</f>
        <v>#VALUE!</v>
      </c>
      <c r="O89" s="11" t="e">
        <f>+P18+P24+P30+P36+P42+P57+P63+P69+P75</f>
        <v>#VALUE!</v>
      </c>
      <c r="Q89" s="11">
        <f>+R18+R24+R30+R36+R42+R57+R63+R69+R75</f>
        <v>128890242.00000001</v>
      </c>
      <c r="S89" s="11" t="e">
        <f>+T18+T24+T30+T36+T42+T57+T63+T69+T75</f>
        <v>#VALUE!</v>
      </c>
      <c r="U89" s="11" t="e">
        <f>+V18+V24+V30+V36+V42+V57+V63+V69+V75</f>
        <v>#VALUE!</v>
      </c>
      <c r="W89" s="11" t="e">
        <f>+X18+X24+X30+X36+X42+X57+X63+X69+X75</f>
        <v>#VALUE!</v>
      </c>
      <c r="Y89" s="11">
        <f>+Z18+Z24+Z30+Z36+Z42+Z57+Z63+Z69+Z75</f>
        <v>310257824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197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1.8515625" style="0" customWidth="1"/>
    <col min="3" max="3" width="11.7109375" style="0" customWidth="1"/>
    <col min="4" max="4" width="10.00390625" style="0" customWidth="1"/>
    <col min="5" max="5" width="11.28125" style="0" customWidth="1"/>
    <col min="6" max="6" width="10.57421875" style="0" customWidth="1"/>
    <col min="7" max="7" width="8.8515625" style="0" customWidth="1"/>
    <col min="8" max="8" width="9.8515625" style="0" customWidth="1"/>
    <col min="9" max="9" width="10.7109375" style="0" customWidth="1"/>
    <col min="10" max="10" width="9.7109375" style="0" customWidth="1"/>
    <col min="11" max="11" width="9.28125" style="0" customWidth="1"/>
    <col min="12" max="12" width="8.7109375" style="0" customWidth="1"/>
    <col min="13" max="14" width="9.57421875" style="0" customWidth="1"/>
    <col min="15" max="15" width="16.00390625" style="0" customWidth="1"/>
    <col min="16" max="16" width="11.140625" style="0" customWidth="1"/>
    <col min="17" max="17" width="10.8515625" style="0" customWidth="1"/>
    <col min="18" max="18" width="11.57421875" style="0" customWidth="1"/>
    <col min="19" max="19" width="11.421875" style="0" customWidth="1"/>
    <col min="20" max="20" width="11.28125" style="0" customWidth="1"/>
    <col min="21" max="21" width="10.7109375" style="0" customWidth="1"/>
    <col min="22" max="22" width="10.140625" style="0" customWidth="1"/>
    <col min="23" max="23" width="11.7109375" style="0" customWidth="1"/>
    <col min="24" max="24" width="9.7109375" style="0" bestFit="1" customWidth="1"/>
    <col min="25" max="25" width="10.57421875" style="0" customWidth="1"/>
    <col min="26" max="26" width="9.421875" style="0" customWidth="1"/>
    <col min="27" max="27" width="11.7109375" style="0" bestFit="1" customWidth="1"/>
    <col min="28" max="28" width="16.57421875" style="0" customWidth="1"/>
    <col min="29" max="29" width="9.57421875" style="0" customWidth="1"/>
    <col min="30" max="30" width="3.57421875" style="0" customWidth="1"/>
    <col min="31" max="31" width="7.8515625" style="0" customWidth="1"/>
    <col min="32" max="32" width="9.8515625" style="0" customWidth="1"/>
    <col min="33" max="33" width="11.421875" style="0" customWidth="1"/>
    <col min="34" max="34" width="10.57421875" style="0" customWidth="1"/>
    <col min="35" max="35" width="9.00390625" style="0" customWidth="1"/>
    <col min="36" max="36" width="8.57421875" style="0" customWidth="1"/>
    <col min="37" max="37" width="10.7109375" style="0" customWidth="1"/>
    <col min="38" max="38" width="9.421875" style="0" customWidth="1"/>
    <col min="39" max="39" width="8.140625" style="0" customWidth="1"/>
    <col min="40" max="40" width="7.28125" style="0" customWidth="1"/>
    <col min="41" max="41" width="11.7109375" style="0" bestFit="1" customWidth="1"/>
    <col min="42" max="42" width="16.57421875" style="0" customWidth="1"/>
    <col min="43" max="43" width="10.8515625" style="0" customWidth="1"/>
    <col min="44" max="44" width="3.00390625" style="0" customWidth="1"/>
    <col min="45" max="45" width="7.8515625" style="0" customWidth="1"/>
    <col min="46" max="46" width="9.8515625" style="0" customWidth="1"/>
    <col min="47" max="47" width="10.28125" style="0" customWidth="1"/>
    <col min="48" max="48" width="10.7109375" style="0" customWidth="1"/>
    <col min="49" max="49" width="9.00390625" style="0" customWidth="1"/>
    <col min="50" max="50" width="8.7109375" style="0" customWidth="1"/>
    <col min="51" max="51" width="10.7109375" style="0" customWidth="1"/>
    <col min="52" max="52" width="8.7109375" style="0" customWidth="1"/>
    <col min="53" max="53" width="9.421875" style="0" customWidth="1"/>
    <col min="54" max="54" width="11.140625" style="0" customWidth="1"/>
    <col min="55" max="55" width="10.421875" style="0" customWidth="1"/>
    <col min="56" max="56" width="17.140625" style="0" customWidth="1"/>
    <col min="57" max="57" width="12.00390625" style="0" customWidth="1"/>
    <col min="58" max="58" width="5.00390625" style="0" customWidth="1"/>
    <col min="59" max="59" width="7.140625" style="0" customWidth="1"/>
    <col min="60" max="60" width="9.8515625" style="0" customWidth="1"/>
    <col min="61" max="61" width="11.421875" style="0" customWidth="1"/>
    <col min="62" max="62" width="10.7109375" style="0" customWidth="1"/>
    <col min="63" max="63" width="9.421875" style="0" customWidth="1"/>
    <col min="64" max="64" width="8.00390625" style="0" customWidth="1"/>
    <col min="65" max="65" width="11.00390625" style="0" customWidth="1"/>
    <col min="66" max="66" width="9.57421875" style="0" customWidth="1"/>
    <col min="67" max="67" width="8.8515625" style="0" customWidth="1"/>
    <col min="68" max="68" width="8.28125" style="0" customWidth="1"/>
    <col min="69" max="69" width="9.00390625" style="0" customWidth="1"/>
    <col min="70" max="70" width="17.140625" style="0" customWidth="1"/>
    <col min="71" max="71" width="12.140625" style="0" customWidth="1"/>
    <col min="72" max="72" width="3.57421875" style="0" customWidth="1"/>
    <col min="73" max="73" width="7.7109375" style="0" customWidth="1"/>
    <col min="74" max="74" width="9.7109375" style="0" customWidth="1"/>
    <col min="75" max="75" width="10.140625" style="0" customWidth="1"/>
    <col min="76" max="76" width="10.7109375" style="0" customWidth="1"/>
    <col min="77" max="77" width="8.28125" style="0" customWidth="1"/>
    <col min="78" max="78" width="8.421875" style="0" customWidth="1"/>
    <col min="79" max="79" width="10.57421875" style="0" customWidth="1"/>
    <col min="80" max="80" width="9.7109375" style="0" customWidth="1"/>
    <col min="81" max="81" width="7.7109375" style="0" customWidth="1"/>
    <col min="82" max="82" width="11.140625" style="0" customWidth="1"/>
    <col min="83" max="83" width="10.00390625" style="0" customWidth="1"/>
    <col min="84" max="84" width="16.140625" style="0" customWidth="1"/>
    <col min="85" max="85" width="13.140625" style="0" customWidth="1"/>
    <col min="86" max="86" width="4.421875" style="0" customWidth="1"/>
    <col min="87" max="87" width="7.140625" style="0" customWidth="1"/>
    <col min="88" max="88" width="9.7109375" style="0" customWidth="1"/>
    <col min="89" max="89" width="10.421875" style="0" customWidth="1"/>
    <col min="90" max="90" width="10.57421875" style="0" customWidth="1"/>
    <col min="91" max="91" width="9.00390625" style="0" customWidth="1"/>
    <col min="92" max="92" width="8.421875" style="0" customWidth="1"/>
    <col min="93" max="93" width="11.28125" style="0" customWidth="1"/>
    <col min="94" max="94" width="9.28125" style="0" customWidth="1"/>
    <col min="95" max="95" width="8.140625" style="0" customWidth="1"/>
    <col min="96" max="96" width="8.00390625" style="0" customWidth="1"/>
    <col min="101" max="101" width="6.7109375" style="0" customWidth="1"/>
    <col min="102" max="102" width="5.7109375" style="0" customWidth="1"/>
    <col min="103" max="103" width="7.7109375" style="0" customWidth="1"/>
    <col min="104" max="105" width="5.7109375" style="0" customWidth="1"/>
    <col min="106" max="107" width="6.7109375" style="0" customWidth="1"/>
    <col min="108" max="111" width="5.7109375" style="0" customWidth="1"/>
    <col min="118" max="118" width="6.7109375" style="0" customWidth="1"/>
    <col min="119" max="119" width="5.7109375" style="0" customWidth="1"/>
    <col min="120" max="120" width="7.7109375" style="0" customWidth="1"/>
    <col min="121" max="122" width="5.7109375" style="0" customWidth="1"/>
    <col min="123" max="124" width="6.7109375" style="0" customWidth="1"/>
    <col min="125" max="128" width="5.7109375" style="0" customWidth="1"/>
    <col min="138" max="138" width="5.7109375" style="0" customWidth="1"/>
    <col min="147" max="147" width="5.7109375" style="0" customWidth="1"/>
  </cols>
  <sheetData>
    <row r="1" spans="2:16" s="1" customFormat="1" ht="11.25" customHeight="1">
      <c r="B1" s="1" t="s">
        <v>162</v>
      </c>
      <c r="P1" s="1" t="s">
        <v>192</v>
      </c>
    </row>
    <row r="2" spans="3:17" s="1" customFormat="1" ht="11.25" customHeight="1">
      <c r="C2" s="1" t="s">
        <v>198</v>
      </c>
      <c r="Q2" s="1" t="s">
        <v>193</v>
      </c>
    </row>
    <row r="3" s="1" customFormat="1" ht="11.25" customHeight="1"/>
    <row r="4" spans="2:85" s="1" customFormat="1" ht="11.25" customHeight="1">
      <c r="B4" s="2"/>
      <c r="P4" s="2"/>
      <c r="AC4" s="2"/>
      <c r="BE4" s="2"/>
      <c r="BS4" s="2"/>
      <c r="CG4" s="2"/>
    </row>
    <row r="5" spans="2:85" s="1" customFormat="1" ht="11.25" customHeight="1">
      <c r="B5" s="2"/>
      <c r="F5" s="1" t="s">
        <v>124</v>
      </c>
      <c r="P5" s="2"/>
      <c r="T5" s="1" t="s">
        <v>124</v>
      </c>
      <c r="AC5" s="2"/>
      <c r="AQ5" s="2"/>
      <c r="BE5" s="2"/>
      <c r="BS5" s="2"/>
      <c r="CG5" s="2"/>
    </row>
    <row r="6" spans="6:83" s="1" customFormat="1" ht="11.25" customHeight="1">
      <c r="F6" s="1" t="s">
        <v>187</v>
      </c>
      <c r="H6" s="2" t="s">
        <v>128</v>
      </c>
      <c r="I6" s="1" t="s">
        <v>129</v>
      </c>
      <c r="J6" s="2" t="s">
        <v>131</v>
      </c>
      <c r="K6" s="2" t="s">
        <v>133</v>
      </c>
      <c r="L6" s="2"/>
      <c r="M6" s="2"/>
      <c r="N6" s="2"/>
      <c r="T6" s="1" t="s">
        <v>187</v>
      </c>
      <c r="V6" s="2" t="s">
        <v>128</v>
      </c>
      <c r="W6" s="1" t="s">
        <v>129</v>
      </c>
      <c r="X6" s="2" t="s">
        <v>131</v>
      </c>
      <c r="Y6" s="2" t="s">
        <v>133</v>
      </c>
      <c r="Z6" s="2"/>
      <c r="AA6" s="2"/>
      <c r="AJ6" s="2"/>
      <c r="AL6" s="2"/>
      <c r="AM6" s="2"/>
      <c r="AN6" s="2"/>
      <c r="AX6" s="2"/>
      <c r="AZ6" s="2"/>
      <c r="BA6" s="2"/>
      <c r="BB6" s="2"/>
      <c r="BL6" s="2"/>
      <c r="BN6" s="2"/>
      <c r="BO6" s="2"/>
      <c r="BP6" s="2"/>
      <c r="BQ6" s="2"/>
      <c r="BZ6" s="2"/>
      <c r="CB6" s="2"/>
      <c r="CC6" s="2"/>
      <c r="CD6" s="2"/>
      <c r="CE6" s="2"/>
    </row>
    <row r="7" spans="1:96" s="1" customFormat="1" ht="11.25" customHeight="1">
      <c r="A7" s="1" t="s">
        <v>186</v>
      </c>
      <c r="B7" s="2" t="s">
        <v>184</v>
      </c>
      <c r="C7" s="2" t="s">
        <v>7</v>
      </c>
      <c r="D7" s="1" t="s">
        <v>8</v>
      </c>
      <c r="E7" s="2" t="s">
        <v>9</v>
      </c>
      <c r="F7" s="1" t="s">
        <v>125</v>
      </c>
      <c r="G7" s="2" t="s">
        <v>126</v>
      </c>
      <c r="H7" s="2" t="s">
        <v>127</v>
      </c>
      <c r="I7" s="1" t="s">
        <v>130</v>
      </c>
      <c r="J7" s="2" t="s">
        <v>132</v>
      </c>
      <c r="K7" s="2" t="s">
        <v>134</v>
      </c>
      <c r="L7" s="2" t="s">
        <v>135</v>
      </c>
      <c r="M7" s="2" t="s">
        <v>94</v>
      </c>
      <c r="N7" s="2"/>
      <c r="O7" s="1" t="s">
        <v>186</v>
      </c>
      <c r="P7" s="2" t="s">
        <v>184</v>
      </c>
      <c r="Q7" s="2" t="s">
        <v>7</v>
      </c>
      <c r="R7" s="1" t="s">
        <v>8</v>
      </c>
      <c r="S7" s="2" t="s">
        <v>9</v>
      </c>
      <c r="T7" s="1" t="s">
        <v>125</v>
      </c>
      <c r="U7" s="2" t="s">
        <v>126</v>
      </c>
      <c r="V7" s="2" t="s">
        <v>127</v>
      </c>
      <c r="W7" s="1" t="s">
        <v>130</v>
      </c>
      <c r="X7" s="2" t="s">
        <v>132</v>
      </c>
      <c r="Y7" s="2" t="s">
        <v>134</v>
      </c>
      <c r="Z7" s="2" t="s">
        <v>135</v>
      </c>
      <c r="AA7" s="2" t="s">
        <v>94</v>
      </c>
      <c r="AC7" s="2"/>
      <c r="AD7" s="2"/>
      <c r="AE7" s="2"/>
      <c r="AG7" s="2"/>
      <c r="AI7" s="2"/>
      <c r="AJ7" s="2"/>
      <c r="AL7" s="2"/>
      <c r="AM7" s="2"/>
      <c r="AN7" s="2"/>
      <c r="AO7" s="2"/>
      <c r="AQ7" s="2"/>
      <c r="AR7" s="2"/>
      <c r="AS7" s="2"/>
      <c r="AU7" s="2"/>
      <c r="AW7" s="2"/>
      <c r="AX7" s="2"/>
      <c r="AZ7" s="2"/>
      <c r="BA7" s="2"/>
      <c r="BB7" s="2"/>
      <c r="BC7" s="2"/>
      <c r="BE7" s="2"/>
      <c r="BF7" s="2"/>
      <c r="BG7" s="2"/>
      <c r="BI7" s="2"/>
      <c r="BK7" s="2"/>
      <c r="BL7" s="2"/>
      <c r="BN7" s="2"/>
      <c r="BO7" s="2"/>
      <c r="BP7" s="2"/>
      <c r="BQ7" s="2"/>
      <c r="BS7" s="2"/>
      <c r="BT7" s="2"/>
      <c r="BU7" s="2"/>
      <c r="BW7" s="2"/>
      <c r="BY7" s="2"/>
      <c r="BZ7" s="2"/>
      <c r="CB7" s="2"/>
      <c r="CC7" s="2"/>
      <c r="CD7" s="2"/>
      <c r="CE7" s="2"/>
      <c r="CN7" s="2"/>
      <c r="CP7" s="2"/>
      <c r="CQ7" s="2"/>
      <c r="CR7" s="2"/>
    </row>
    <row r="8" spans="2:97" s="1" customFormat="1" ht="11.25" customHeight="1">
      <c r="B8" s="2"/>
      <c r="C8" s="2"/>
      <c r="E8" s="2"/>
      <c r="G8" s="2"/>
      <c r="H8" s="2"/>
      <c r="J8" s="2"/>
      <c r="K8" s="2"/>
      <c r="L8" s="2"/>
      <c r="M8" s="2"/>
      <c r="N8" s="2"/>
      <c r="P8" s="2"/>
      <c r="Q8" s="2"/>
      <c r="S8" s="2"/>
      <c r="U8" s="2"/>
      <c r="V8" s="2"/>
      <c r="X8" s="2"/>
      <c r="Y8" s="2"/>
      <c r="Z8" s="2"/>
      <c r="AA8" s="2"/>
      <c r="AC8" s="2"/>
      <c r="AD8" s="2"/>
      <c r="AE8" s="2"/>
      <c r="AG8" s="2"/>
      <c r="AI8" s="2"/>
      <c r="AJ8" s="2"/>
      <c r="AL8" s="2"/>
      <c r="AM8" s="2"/>
      <c r="AN8" s="2"/>
      <c r="AO8" s="2"/>
      <c r="AQ8" s="2"/>
      <c r="AR8" s="2"/>
      <c r="AS8" s="2"/>
      <c r="AU8" s="2"/>
      <c r="AW8" s="2"/>
      <c r="AX8" s="2"/>
      <c r="AZ8" s="2"/>
      <c r="BA8" s="2"/>
      <c r="BB8" s="2"/>
      <c r="BC8" s="2"/>
      <c r="BE8" s="2"/>
      <c r="BF8" s="2"/>
      <c r="BG8" s="2"/>
      <c r="BI8" s="2"/>
      <c r="BK8" s="2"/>
      <c r="BL8" s="2"/>
      <c r="BN8" s="2"/>
      <c r="BO8" s="2"/>
      <c r="BP8" s="2"/>
      <c r="BQ8" s="2"/>
      <c r="BS8" s="2"/>
      <c r="BT8" s="2"/>
      <c r="BU8" s="2"/>
      <c r="BW8" s="2"/>
      <c r="BY8" s="2"/>
      <c r="BZ8" s="2"/>
      <c r="CB8" s="2"/>
      <c r="CC8" s="2"/>
      <c r="CD8" s="2"/>
      <c r="CE8" s="2"/>
      <c r="CG8" s="2"/>
      <c r="CH8" s="2"/>
      <c r="CI8" s="2"/>
      <c r="CK8" s="2"/>
      <c r="CM8" s="2"/>
      <c r="CN8" s="2"/>
      <c r="CP8" s="2"/>
      <c r="CQ8" s="2"/>
      <c r="CR8" s="2"/>
      <c r="CS8" s="2"/>
    </row>
    <row r="9" spans="1:15" s="1" customFormat="1" ht="11.25" customHeight="1">
      <c r="A9" s="1" t="s">
        <v>1</v>
      </c>
      <c r="O9" s="1" t="s">
        <v>44</v>
      </c>
    </row>
    <row r="10" spans="1:27" s="1" customFormat="1" ht="11.25" customHeight="1">
      <c r="A10" s="1" t="s">
        <v>18</v>
      </c>
      <c r="B10" s="1">
        <f>+C10+D10+E10+F10+G10+H10+I10+J10+K10+L10+M10</f>
        <v>124</v>
      </c>
      <c r="C10" s="1">
        <v>0</v>
      </c>
      <c r="D10" s="1">
        <v>12</v>
      </c>
      <c r="E10" s="1">
        <v>5</v>
      </c>
      <c r="F10" s="1">
        <v>26</v>
      </c>
      <c r="G10" s="1">
        <v>0</v>
      </c>
      <c r="H10" s="1">
        <v>7</v>
      </c>
      <c r="I10" s="1">
        <v>6</v>
      </c>
      <c r="J10" s="1">
        <v>9</v>
      </c>
      <c r="K10" s="1">
        <v>23</v>
      </c>
      <c r="L10" s="1">
        <v>5</v>
      </c>
      <c r="M10" s="1">
        <v>31</v>
      </c>
      <c r="O10" s="1" t="s">
        <v>18</v>
      </c>
      <c r="P10" s="1">
        <v>33</v>
      </c>
      <c r="Q10" s="1">
        <v>0</v>
      </c>
      <c r="R10" s="2" t="s">
        <v>32</v>
      </c>
      <c r="S10" s="2" t="s">
        <v>32</v>
      </c>
      <c r="T10" s="1">
        <v>3</v>
      </c>
      <c r="U10" s="2" t="s">
        <v>32</v>
      </c>
      <c r="V10" s="1">
        <v>0</v>
      </c>
      <c r="W10" s="2" t="s">
        <v>32</v>
      </c>
      <c r="X10" s="1">
        <v>0</v>
      </c>
      <c r="Y10" s="1">
        <v>5</v>
      </c>
      <c r="Z10" s="2" t="s">
        <v>32</v>
      </c>
      <c r="AA10" s="1">
        <v>19</v>
      </c>
    </row>
    <row r="11" spans="1:27" s="1" customFormat="1" ht="11.25" customHeight="1">
      <c r="A11" s="1" t="s">
        <v>20</v>
      </c>
      <c r="B11" s="1">
        <f>+C11+D11+E11+F11+G11+H11+I11+J11+K11+L11+M11</f>
        <v>1208</v>
      </c>
      <c r="C11" s="1">
        <v>0</v>
      </c>
      <c r="D11" s="1">
        <v>26</v>
      </c>
      <c r="E11" s="1">
        <v>62</v>
      </c>
      <c r="F11" s="1">
        <v>261</v>
      </c>
      <c r="G11" s="1">
        <v>0</v>
      </c>
      <c r="H11" s="1">
        <v>30</v>
      </c>
      <c r="I11" s="1">
        <v>11</v>
      </c>
      <c r="J11" s="1">
        <v>38</v>
      </c>
      <c r="K11" s="1">
        <v>312</v>
      </c>
      <c r="L11" s="1">
        <v>20</v>
      </c>
      <c r="M11" s="1">
        <v>448</v>
      </c>
      <c r="O11" s="1" t="s">
        <v>20</v>
      </c>
      <c r="P11" s="1">
        <v>215</v>
      </c>
      <c r="Q11" s="1">
        <v>0</v>
      </c>
      <c r="R11" s="2" t="s">
        <v>32</v>
      </c>
      <c r="S11" s="2" t="s">
        <v>32</v>
      </c>
      <c r="T11" s="1">
        <v>15</v>
      </c>
      <c r="U11" s="2" t="s">
        <v>32</v>
      </c>
      <c r="V11" s="1">
        <v>0</v>
      </c>
      <c r="W11" s="2" t="s">
        <v>32</v>
      </c>
      <c r="X11" s="1">
        <v>0</v>
      </c>
      <c r="Y11" s="1">
        <v>38</v>
      </c>
      <c r="Z11" s="2" t="s">
        <v>32</v>
      </c>
      <c r="AA11" s="1">
        <v>150</v>
      </c>
    </row>
    <row r="12" spans="1:27" s="1" customFormat="1" ht="11.25" customHeight="1">
      <c r="A12" s="1" t="s">
        <v>21</v>
      </c>
      <c r="B12" s="1">
        <f>+C12+D12+E12+F12+G12+H12+I12+J12+K12+L12+M12</f>
        <v>22033576</v>
      </c>
      <c r="C12" s="1">
        <v>0</v>
      </c>
      <c r="D12" s="1">
        <v>554762</v>
      </c>
      <c r="E12" s="1">
        <v>1277074</v>
      </c>
      <c r="F12" s="1">
        <v>3730668</v>
      </c>
      <c r="G12" s="1">
        <v>0</v>
      </c>
      <c r="H12" s="1">
        <v>646584</v>
      </c>
      <c r="I12" s="1">
        <v>112615</v>
      </c>
      <c r="J12" s="1">
        <v>1079789</v>
      </c>
      <c r="K12" s="1">
        <v>3079480</v>
      </c>
      <c r="L12" s="1">
        <v>271466</v>
      </c>
      <c r="M12" s="1">
        <v>11281138</v>
      </c>
      <c r="O12" s="1" t="s">
        <v>21</v>
      </c>
      <c r="P12" s="1">
        <v>4224918</v>
      </c>
      <c r="Q12" s="1">
        <v>0</v>
      </c>
      <c r="R12" s="2" t="s">
        <v>32</v>
      </c>
      <c r="S12" s="2" t="s">
        <v>32</v>
      </c>
      <c r="T12" s="1">
        <v>101462</v>
      </c>
      <c r="U12" s="2" t="s">
        <v>32</v>
      </c>
      <c r="V12" s="1">
        <v>0</v>
      </c>
      <c r="W12" s="2" t="s">
        <v>32</v>
      </c>
      <c r="X12" s="1">
        <v>0</v>
      </c>
      <c r="Y12" s="1">
        <v>366063</v>
      </c>
      <c r="Z12" s="2" t="s">
        <v>32</v>
      </c>
      <c r="AA12" s="1">
        <v>3615440</v>
      </c>
    </row>
    <row r="13" spans="1:27" s="1" customFormat="1" ht="11.25" customHeight="1">
      <c r="A13" s="1" t="s">
        <v>23</v>
      </c>
      <c r="B13" s="1">
        <f>(B12/B11)/12</f>
        <v>1519.9762693156733</v>
      </c>
      <c r="C13" s="1">
        <v>0</v>
      </c>
      <c r="D13" s="1">
        <f>(D12/D11)/12</f>
        <v>1778.0833333333333</v>
      </c>
      <c r="E13" s="1">
        <f>(E12/E11)/12</f>
        <v>1716.497311827957</v>
      </c>
      <c r="F13" s="1">
        <f>(F12/F11)/12</f>
        <v>1191.1455938697318</v>
      </c>
      <c r="G13" s="1">
        <v>0</v>
      </c>
      <c r="H13" s="1">
        <f aca="true" t="shared" si="0" ref="H13:M13">(H12/H11)/12</f>
        <v>1796.0666666666666</v>
      </c>
      <c r="I13" s="1">
        <f t="shared" si="0"/>
        <v>853.1439393939394</v>
      </c>
      <c r="J13" s="1">
        <f t="shared" si="0"/>
        <v>2367.9583333333335</v>
      </c>
      <c r="K13" s="1">
        <f t="shared" si="0"/>
        <v>822.5106837606837</v>
      </c>
      <c r="L13" s="1">
        <f t="shared" si="0"/>
        <v>1131.1083333333333</v>
      </c>
      <c r="M13" s="1">
        <f t="shared" si="0"/>
        <v>2098.425967261905</v>
      </c>
      <c r="O13" s="1" t="s">
        <v>23</v>
      </c>
      <c r="P13" s="1">
        <f>(P12/P11)/12</f>
        <v>1637.5651162790698</v>
      </c>
      <c r="Q13" s="1">
        <v>0</v>
      </c>
      <c r="R13" s="2" t="s">
        <v>32</v>
      </c>
      <c r="S13" s="2" t="s">
        <v>32</v>
      </c>
      <c r="T13" s="1">
        <f>(T12/T11)/12</f>
        <v>563.6777777777778</v>
      </c>
      <c r="U13" s="2" t="s">
        <v>32</v>
      </c>
      <c r="V13" s="1">
        <v>0</v>
      </c>
      <c r="W13" s="2" t="s">
        <v>32</v>
      </c>
      <c r="X13" s="1">
        <v>0</v>
      </c>
      <c r="Y13" s="1">
        <f>(Y12/Y11)/12</f>
        <v>802.7697368421053</v>
      </c>
      <c r="Z13" s="2" t="s">
        <v>32</v>
      </c>
      <c r="AA13" s="1">
        <f>(AA12/AA11)/12</f>
        <v>2008.5777777777778</v>
      </c>
    </row>
    <row r="14" s="1" customFormat="1" ht="11.25" customHeight="1"/>
    <row r="15" spans="1:15" s="1" customFormat="1" ht="11.25" customHeight="1">
      <c r="A15" s="9" t="s">
        <v>2</v>
      </c>
      <c r="O15" s="1" t="s">
        <v>45</v>
      </c>
    </row>
    <row r="16" spans="1:75" s="1" customFormat="1" ht="11.25" customHeight="1">
      <c r="A16" s="1" t="s">
        <v>18</v>
      </c>
      <c r="B16" s="1">
        <v>105</v>
      </c>
      <c r="C16" s="3">
        <v>3</v>
      </c>
      <c r="D16" s="1">
        <v>11</v>
      </c>
      <c r="E16" s="2" t="s">
        <v>32</v>
      </c>
      <c r="F16" s="1">
        <v>24</v>
      </c>
      <c r="G16" s="2" t="s">
        <v>32</v>
      </c>
      <c r="H16" s="1">
        <v>5</v>
      </c>
      <c r="I16" s="1">
        <v>3</v>
      </c>
      <c r="J16" s="1">
        <v>9</v>
      </c>
      <c r="K16" s="1">
        <v>11</v>
      </c>
      <c r="L16" s="1">
        <v>4</v>
      </c>
      <c r="M16" s="1">
        <v>31</v>
      </c>
      <c r="O16" s="1" t="s">
        <v>18</v>
      </c>
      <c r="P16" s="1">
        <v>87</v>
      </c>
      <c r="Q16" s="1">
        <v>0</v>
      </c>
      <c r="R16" s="1">
        <v>16</v>
      </c>
      <c r="S16" s="2" t="s">
        <v>32</v>
      </c>
      <c r="T16" s="1">
        <v>17</v>
      </c>
      <c r="U16" s="1">
        <v>4</v>
      </c>
      <c r="V16" s="1">
        <v>5</v>
      </c>
      <c r="W16" s="1">
        <v>3</v>
      </c>
      <c r="X16" s="2" t="s">
        <v>32</v>
      </c>
      <c r="Y16" s="1">
        <v>6</v>
      </c>
      <c r="Z16" s="1">
        <v>6</v>
      </c>
      <c r="AA16" s="1">
        <v>29</v>
      </c>
      <c r="BU16" s="3"/>
      <c r="BW16" s="3"/>
    </row>
    <row r="17" spans="1:75" s="1" customFormat="1" ht="11.25" customHeight="1">
      <c r="A17" s="1" t="s">
        <v>20</v>
      </c>
      <c r="B17" s="1">
        <v>1541</v>
      </c>
      <c r="C17" s="3">
        <v>76</v>
      </c>
      <c r="D17" s="1">
        <v>49</v>
      </c>
      <c r="E17" s="2" t="s">
        <v>32</v>
      </c>
      <c r="F17" s="1">
        <v>235</v>
      </c>
      <c r="G17" s="2" t="s">
        <v>32</v>
      </c>
      <c r="H17" s="1">
        <v>24</v>
      </c>
      <c r="I17" s="1">
        <v>7</v>
      </c>
      <c r="J17" s="1">
        <v>158</v>
      </c>
      <c r="K17" s="1">
        <v>170</v>
      </c>
      <c r="L17" s="1">
        <v>14</v>
      </c>
      <c r="M17" s="1">
        <v>779</v>
      </c>
      <c r="O17" s="1" t="s">
        <v>20</v>
      </c>
      <c r="P17" s="1">
        <v>664</v>
      </c>
      <c r="Q17" s="1">
        <v>0</v>
      </c>
      <c r="R17" s="1">
        <v>56</v>
      </c>
      <c r="S17" s="2" t="s">
        <v>32</v>
      </c>
      <c r="T17" s="1">
        <v>79</v>
      </c>
      <c r="U17" s="1">
        <v>30</v>
      </c>
      <c r="V17" s="1">
        <v>23</v>
      </c>
      <c r="W17" s="1">
        <v>10</v>
      </c>
      <c r="X17" s="2" t="s">
        <v>32</v>
      </c>
      <c r="Y17" s="1">
        <v>70</v>
      </c>
      <c r="Z17" s="1">
        <v>36</v>
      </c>
      <c r="AA17" s="1">
        <v>355</v>
      </c>
      <c r="BU17" s="3"/>
      <c r="BW17" s="3"/>
    </row>
    <row r="18" spans="1:75" s="1" customFormat="1" ht="11.25" customHeight="1">
      <c r="A18" s="1" t="s">
        <v>21</v>
      </c>
      <c r="B18" s="1">
        <v>31853954</v>
      </c>
      <c r="C18" s="3">
        <v>2200223</v>
      </c>
      <c r="D18" s="1">
        <v>829085</v>
      </c>
      <c r="E18" s="2" t="s">
        <v>32</v>
      </c>
      <c r="F18" s="1">
        <v>3508918</v>
      </c>
      <c r="G18" s="2" t="s">
        <v>32</v>
      </c>
      <c r="H18" s="1">
        <v>491929</v>
      </c>
      <c r="I18" s="1">
        <v>116902</v>
      </c>
      <c r="J18" s="1">
        <v>2584947</v>
      </c>
      <c r="K18" s="1">
        <v>1874718</v>
      </c>
      <c r="L18" s="1">
        <v>248928</v>
      </c>
      <c r="M18" s="1">
        <v>19538146</v>
      </c>
      <c r="O18" s="1" t="s">
        <v>21</v>
      </c>
      <c r="P18" s="1">
        <v>14215923</v>
      </c>
      <c r="Q18" s="1">
        <v>0</v>
      </c>
      <c r="R18" s="1">
        <v>1276289</v>
      </c>
      <c r="S18" s="2" t="s">
        <v>32</v>
      </c>
      <c r="T18" s="1">
        <v>1122607</v>
      </c>
      <c r="U18" s="1">
        <v>874989</v>
      </c>
      <c r="V18" s="1">
        <v>717936</v>
      </c>
      <c r="W18" s="1">
        <v>146969</v>
      </c>
      <c r="X18" s="2" t="s">
        <v>32</v>
      </c>
      <c r="Y18" s="1">
        <v>270736</v>
      </c>
      <c r="Z18" s="1">
        <v>709976</v>
      </c>
      <c r="AA18" s="1">
        <v>9004102</v>
      </c>
      <c r="BU18" s="3"/>
      <c r="BW18" s="3"/>
    </row>
    <row r="19" spans="1:75" s="1" customFormat="1" ht="11.25" customHeight="1">
      <c r="A19" s="1" t="s">
        <v>23</v>
      </c>
      <c r="B19" s="1">
        <f>(B18/B17)/12</f>
        <v>1722.5802509193163</v>
      </c>
      <c r="C19" s="1">
        <f>(C18/C17)/12</f>
        <v>2412.5252192982457</v>
      </c>
      <c r="D19" s="1">
        <f>(D18/D17)/12</f>
        <v>1410.0085034013607</v>
      </c>
      <c r="E19" s="2" t="s">
        <v>32</v>
      </c>
      <c r="F19" s="1">
        <f>(F18/F17)/12</f>
        <v>1244.2971631205673</v>
      </c>
      <c r="G19" s="2" t="s">
        <v>32</v>
      </c>
      <c r="H19" s="1">
        <f aca="true" t="shared" si="1" ref="H19:M19">(H18/H17)/12</f>
        <v>1708.0868055555557</v>
      </c>
      <c r="I19" s="1">
        <f t="shared" si="1"/>
        <v>1391.6904761904761</v>
      </c>
      <c r="J19" s="1">
        <f t="shared" si="1"/>
        <v>1363.368670886076</v>
      </c>
      <c r="K19" s="1">
        <f t="shared" si="1"/>
        <v>918.9794117647058</v>
      </c>
      <c r="L19" s="1">
        <f t="shared" si="1"/>
        <v>1481.7142857142856</v>
      </c>
      <c r="M19" s="1">
        <f t="shared" si="1"/>
        <v>2090.0883611467693</v>
      </c>
      <c r="O19" s="1" t="s">
        <v>23</v>
      </c>
      <c r="P19" s="1">
        <f>(P18/P17)/12</f>
        <v>1784.1268825301204</v>
      </c>
      <c r="Q19" s="1">
        <v>0</v>
      </c>
      <c r="R19" s="1">
        <f>(R18/R17)/12</f>
        <v>1899.2395833333333</v>
      </c>
      <c r="S19" s="2" t="s">
        <v>32</v>
      </c>
      <c r="T19" s="1">
        <f>(T18/T17)/12</f>
        <v>1184.184599156118</v>
      </c>
      <c r="U19" s="1">
        <f>(U18/U17)/12</f>
        <v>2430.525</v>
      </c>
      <c r="V19" s="1">
        <f>(V18/V17)/12</f>
        <v>2601.2173913043475</v>
      </c>
      <c r="W19" s="1">
        <f>(W18/W17)/12</f>
        <v>1224.7416666666666</v>
      </c>
      <c r="X19" s="2" t="s">
        <v>32</v>
      </c>
      <c r="Y19" s="1">
        <f>(Y18/Y17)/12</f>
        <v>322.3047619047619</v>
      </c>
      <c r="Z19" s="1">
        <f>(Z18/Z17)/12</f>
        <v>1643.4629629629628</v>
      </c>
      <c r="AA19" s="1">
        <f>(AA18/AA17)/12</f>
        <v>2113.6389671361503</v>
      </c>
      <c r="BU19" s="3"/>
      <c r="BW19" s="3"/>
    </row>
    <row r="20" s="1" customFormat="1" ht="11.25" customHeight="1"/>
    <row r="21" spans="1:15" s="1" customFormat="1" ht="11.25" customHeight="1">
      <c r="A21" s="1" t="s">
        <v>3</v>
      </c>
      <c r="O21" s="1" t="s">
        <v>167</v>
      </c>
    </row>
    <row r="22" spans="1:27" s="1" customFormat="1" ht="11.25" customHeight="1">
      <c r="A22" s="1" t="s">
        <v>18</v>
      </c>
      <c r="B22" s="1">
        <v>444</v>
      </c>
      <c r="C22" s="2" t="s">
        <v>32</v>
      </c>
      <c r="D22" s="1">
        <v>47</v>
      </c>
      <c r="E22" s="1">
        <v>23</v>
      </c>
      <c r="F22" s="1">
        <v>89</v>
      </c>
      <c r="G22" s="2" t="s">
        <v>32</v>
      </c>
      <c r="H22" s="1">
        <v>54</v>
      </c>
      <c r="I22" s="1">
        <v>46</v>
      </c>
      <c r="J22" s="1">
        <v>61</v>
      </c>
      <c r="K22" s="1">
        <v>33</v>
      </c>
      <c r="L22" s="1">
        <v>30</v>
      </c>
      <c r="M22" s="1">
        <v>57</v>
      </c>
      <c r="O22" s="1" t="s">
        <v>18</v>
      </c>
      <c r="P22" s="1">
        <v>81</v>
      </c>
      <c r="Q22" s="1">
        <v>0</v>
      </c>
      <c r="R22" s="1">
        <v>29</v>
      </c>
      <c r="S22" s="3">
        <v>3</v>
      </c>
      <c r="T22" s="1">
        <v>6</v>
      </c>
      <c r="U22" s="2" t="s">
        <v>32</v>
      </c>
      <c r="V22" s="7">
        <v>4</v>
      </c>
      <c r="W22" s="1">
        <v>11</v>
      </c>
      <c r="X22" s="2" t="s">
        <v>32</v>
      </c>
      <c r="Y22" s="1">
        <v>11</v>
      </c>
      <c r="Z22" s="1">
        <v>5</v>
      </c>
      <c r="AA22" s="1">
        <v>9</v>
      </c>
    </row>
    <row r="23" spans="1:27" s="1" customFormat="1" ht="11.25" customHeight="1">
      <c r="A23" s="1" t="s">
        <v>20</v>
      </c>
      <c r="B23" s="1">
        <v>7457</v>
      </c>
      <c r="C23" s="2" t="s">
        <v>32</v>
      </c>
      <c r="D23" s="1">
        <v>459</v>
      </c>
      <c r="E23" s="1">
        <v>1948</v>
      </c>
      <c r="F23" s="1">
        <v>1068</v>
      </c>
      <c r="G23" s="2" t="s">
        <v>32</v>
      </c>
      <c r="H23" s="1">
        <v>323</v>
      </c>
      <c r="I23" s="1">
        <v>622</v>
      </c>
      <c r="J23" s="1">
        <v>772</v>
      </c>
      <c r="K23" s="1">
        <v>482</v>
      </c>
      <c r="L23" s="1">
        <v>120</v>
      </c>
      <c r="M23" s="1">
        <v>1588</v>
      </c>
      <c r="O23" s="1" t="s">
        <v>20</v>
      </c>
      <c r="P23" s="1">
        <v>761</v>
      </c>
      <c r="Q23" s="1">
        <v>0</v>
      </c>
      <c r="R23" s="1">
        <v>120</v>
      </c>
      <c r="S23" s="3">
        <v>7</v>
      </c>
      <c r="T23" s="1">
        <v>17</v>
      </c>
      <c r="U23" s="2" t="s">
        <v>32</v>
      </c>
      <c r="V23" s="7">
        <v>11</v>
      </c>
      <c r="W23" s="1">
        <v>73</v>
      </c>
      <c r="X23" s="2" t="s">
        <v>32</v>
      </c>
      <c r="Y23" s="1">
        <v>406</v>
      </c>
      <c r="Z23" s="1">
        <v>7</v>
      </c>
      <c r="AA23" s="1">
        <v>107</v>
      </c>
    </row>
    <row r="24" spans="1:27" s="1" customFormat="1" ht="11.25" customHeight="1">
      <c r="A24" s="1" t="s">
        <v>21</v>
      </c>
      <c r="B24" s="1">
        <v>208730624</v>
      </c>
      <c r="C24" s="2" t="s">
        <v>32</v>
      </c>
      <c r="D24" s="1">
        <v>14902099</v>
      </c>
      <c r="E24" s="1">
        <v>82422310</v>
      </c>
      <c r="F24" s="1">
        <v>24289703</v>
      </c>
      <c r="G24" s="2" t="s">
        <v>32</v>
      </c>
      <c r="H24" s="1">
        <v>8698352</v>
      </c>
      <c r="I24" s="1">
        <v>14769675</v>
      </c>
      <c r="J24" s="1">
        <v>16489582</v>
      </c>
      <c r="K24" s="1">
        <v>3632340</v>
      </c>
      <c r="L24" s="1">
        <v>1717534</v>
      </c>
      <c r="M24" s="1">
        <v>39722391</v>
      </c>
      <c r="O24" s="1" t="s">
        <v>21</v>
      </c>
      <c r="P24" s="1">
        <v>17530586</v>
      </c>
      <c r="Q24" s="1">
        <v>0</v>
      </c>
      <c r="R24" s="1">
        <v>1945777</v>
      </c>
      <c r="S24" s="3">
        <v>202870</v>
      </c>
      <c r="T24" s="1">
        <v>482833</v>
      </c>
      <c r="U24" s="2" t="s">
        <v>32</v>
      </c>
      <c r="V24" s="7">
        <v>260277</v>
      </c>
      <c r="W24" s="1">
        <v>5065635</v>
      </c>
      <c r="X24" s="2" t="s">
        <v>32</v>
      </c>
      <c r="Y24" s="1">
        <v>5803863</v>
      </c>
      <c r="Z24" s="1">
        <v>90584</v>
      </c>
      <c r="AA24" s="1">
        <v>3204299</v>
      </c>
    </row>
    <row r="25" spans="1:27" s="1" customFormat="1" ht="11.25" customHeight="1">
      <c r="A25" s="1" t="s">
        <v>23</v>
      </c>
      <c r="B25" s="1">
        <f>(B24/B23)/12</f>
        <v>2332.6027446247376</v>
      </c>
      <c r="C25" s="2" t="s">
        <v>32</v>
      </c>
      <c r="D25" s="1">
        <f aca="true" t="shared" si="2" ref="D25:J25">(D24/D23)/12</f>
        <v>2705.53721859114</v>
      </c>
      <c r="E25" s="1">
        <f t="shared" si="2"/>
        <v>3525.937286105407</v>
      </c>
      <c r="F25" s="1">
        <f t="shared" si="2"/>
        <v>1895.2639669163545</v>
      </c>
      <c r="G25" s="2" t="s">
        <v>32</v>
      </c>
      <c r="H25" s="1">
        <f t="shared" si="2"/>
        <v>2244.156862745098</v>
      </c>
      <c r="I25" s="1">
        <f t="shared" si="2"/>
        <v>1978.7881832797427</v>
      </c>
      <c r="J25" s="1">
        <f t="shared" si="2"/>
        <v>1779.9635146804837</v>
      </c>
      <c r="K25" s="1">
        <f>(K24/K23)/12</f>
        <v>627.9979253112033</v>
      </c>
      <c r="L25" s="1">
        <f>(L24/L23)/12</f>
        <v>1192.7319444444445</v>
      </c>
      <c r="M25" s="1">
        <f>(M24/M23)/12</f>
        <v>2084.508343828715</v>
      </c>
      <c r="O25" s="1" t="s">
        <v>23</v>
      </c>
      <c r="P25" s="1">
        <f>(P24/P23)/12</f>
        <v>1919.6874726237409</v>
      </c>
      <c r="Q25" s="1">
        <v>0</v>
      </c>
      <c r="R25" s="1">
        <f>(R24/R23)/12</f>
        <v>1351.2340277777778</v>
      </c>
      <c r="S25" s="1">
        <f>(S24/S23)/12</f>
        <v>2415.1190476190477</v>
      </c>
      <c r="T25" s="1">
        <f>(T24/T23)/12</f>
        <v>2366.828431372549</v>
      </c>
      <c r="U25" s="2" t="s">
        <v>32</v>
      </c>
      <c r="V25" s="1">
        <f>(V24/V23)/12</f>
        <v>1971.7954545454547</v>
      </c>
      <c r="W25" s="1">
        <f>(W24/W23)/12</f>
        <v>5782.688356164384</v>
      </c>
      <c r="X25" s="2" t="s">
        <v>32</v>
      </c>
      <c r="Y25" s="1">
        <f>(Y24/Y23)/12</f>
        <v>1191.2690886699509</v>
      </c>
      <c r="Z25" s="1">
        <f>(Z24/Z23)/12</f>
        <v>1078.3809523809525</v>
      </c>
      <c r="AA25" s="1">
        <f>(AA24/AA23)/12</f>
        <v>2495.559968847352</v>
      </c>
    </row>
    <row r="26" s="1" customFormat="1" ht="11.25" customHeight="1"/>
    <row r="27" spans="1:15" s="1" customFormat="1" ht="11.25" customHeight="1">
      <c r="A27" s="1" t="s">
        <v>4</v>
      </c>
      <c r="O27" s="1" t="s">
        <v>163</v>
      </c>
    </row>
    <row r="28" spans="1:73" s="1" customFormat="1" ht="11.25" customHeight="1">
      <c r="A28" s="1" t="s">
        <v>18</v>
      </c>
      <c r="B28" s="1">
        <v>69</v>
      </c>
      <c r="C28" s="1">
        <v>0</v>
      </c>
      <c r="D28" s="1">
        <v>6</v>
      </c>
      <c r="E28" s="2" t="s">
        <v>32</v>
      </c>
      <c r="F28" s="1">
        <v>13</v>
      </c>
      <c r="G28" s="2" t="s">
        <v>32</v>
      </c>
      <c r="H28" s="1">
        <v>4</v>
      </c>
      <c r="I28" s="1">
        <v>6</v>
      </c>
      <c r="J28" s="1">
        <v>5</v>
      </c>
      <c r="K28" s="1">
        <v>6</v>
      </c>
      <c r="L28" s="1">
        <v>6</v>
      </c>
      <c r="M28" s="1">
        <v>19</v>
      </c>
      <c r="O28" s="1" t="s">
        <v>18</v>
      </c>
      <c r="P28" s="1">
        <f>38+19</f>
        <v>57</v>
      </c>
      <c r="Q28" s="1">
        <v>4</v>
      </c>
      <c r="R28" s="1">
        <f>5+3</f>
        <v>8</v>
      </c>
      <c r="S28" s="2" t="s">
        <v>32</v>
      </c>
      <c r="T28" s="1">
        <f>10+7</f>
        <v>17</v>
      </c>
      <c r="U28" s="1">
        <v>0</v>
      </c>
      <c r="V28" s="3">
        <v>3</v>
      </c>
      <c r="W28" s="2" t="s">
        <v>32</v>
      </c>
      <c r="X28" s="1">
        <v>0</v>
      </c>
      <c r="Y28" s="1">
        <f>5+1</f>
        <v>6</v>
      </c>
      <c r="Z28" s="2" t="s">
        <v>32</v>
      </c>
      <c r="AA28" s="1">
        <f>9+8</f>
        <v>17</v>
      </c>
      <c r="BU28" s="3"/>
    </row>
    <row r="29" spans="1:73" s="1" customFormat="1" ht="11.25" customHeight="1">
      <c r="A29" s="1" t="s">
        <v>20</v>
      </c>
      <c r="B29" s="1">
        <v>856</v>
      </c>
      <c r="C29" s="1">
        <v>0</v>
      </c>
      <c r="D29" s="1">
        <v>15</v>
      </c>
      <c r="E29" s="2" t="s">
        <v>32</v>
      </c>
      <c r="F29" s="1">
        <v>369</v>
      </c>
      <c r="G29" s="2" t="s">
        <v>32</v>
      </c>
      <c r="H29" s="1">
        <v>17</v>
      </c>
      <c r="I29" s="1">
        <v>28</v>
      </c>
      <c r="J29" s="1">
        <v>34</v>
      </c>
      <c r="K29" s="1">
        <v>29</v>
      </c>
      <c r="L29" s="1">
        <v>13</v>
      </c>
      <c r="M29" s="1">
        <v>308</v>
      </c>
      <c r="O29" s="1" t="s">
        <v>20</v>
      </c>
      <c r="P29" s="1">
        <f>475+125</f>
        <v>600</v>
      </c>
      <c r="Q29" s="1">
        <v>42</v>
      </c>
      <c r="R29" s="1">
        <f>24+33</f>
        <v>57</v>
      </c>
      <c r="S29" s="2" t="s">
        <v>32</v>
      </c>
      <c r="T29" s="1">
        <f>157+42</f>
        <v>199</v>
      </c>
      <c r="U29" s="1">
        <v>0</v>
      </c>
      <c r="V29" s="3">
        <v>8</v>
      </c>
      <c r="W29" s="2" t="s">
        <v>32</v>
      </c>
      <c r="X29" s="1">
        <v>0</v>
      </c>
      <c r="Y29" s="1">
        <f>31+6</f>
        <v>37</v>
      </c>
      <c r="Z29" s="2" t="s">
        <v>32</v>
      </c>
      <c r="AA29" s="1">
        <f>53+189</f>
        <v>242</v>
      </c>
      <c r="BU29" s="3"/>
    </row>
    <row r="30" spans="1:73" s="1" customFormat="1" ht="11.25" customHeight="1">
      <c r="A30" s="1" t="s">
        <v>21</v>
      </c>
      <c r="B30" s="1">
        <v>30888041</v>
      </c>
      <c r="C30" s="1">
        <v>0</v>
      </c>
      <c r="D30" s="1">
        <v>335200</v>
      </c>
      <c r="E30" s="2" t="s">
        <v>32</v>
      </c>
      <c r="F30" s="1">
        <v>20423548</v>
      </c>
      <c r="G30" s="2" t="s">
        <v>32</v>
      </c>
      <c r="H30" s="1">
        <v>314971</v>
      </c>
      <c r="I30" s="1">
        <v>878136</v>
      </c>
      <c r="J30" s="1">
        <v>885719</v>
      </c>
      <c r="K30" s="1">
        <v>129424</v>
      </c>
      <c r="L30" s="1">
        <v>251816</v>
      </c>
      <c r="M30" s="1">
        <v>7133588</v>
      </c>
      <c r="O30" s="1" t="s">
        <v>21</v>
      </c>
      <c r="P30" s="1">
        <f>1919696+14029945</f>
        <v>15949641</v>
      </c>
      <c r="Q30" s="1">
        <v>1219665</v>
      </c>
      <c r="R30" s="1">
        <f>630495+741608</f>
        <v>1372103</v>
      </c>
      <c r="S30" s="2" t="s">
        <v>32</v>
      </c>
      <c r="T30" s="1">
        <f>489704+7722510</f>
        <v>8212214</v>
      </c>
      <c r="U30" s="1">
        <v>0</v>
      </c>
      <c r="V30" s="3">
        <v>175513</v>
      </c>
      <c r="W30" s="2" t="s">
        <v>32</v>
      </c>
      <c r="X30" s="1">
        <v>0</v>
      </c>
      <c r="Y30" s="1">
        <f>140910+190693</f>
        <v>331603</v>
      </c>
      <c r="Z30" s="2" t="s">
        <v>32</v>
      </c>
      <c r="AA30" s="1">
        <f>3616946+658587</f>
        <v>4275533</v>
      </c>
      <c r="BU30" s="3"/>
    </row>
    <row r="31" spans="1:73" s="1" customFormat="1" ht="11.25" customHeight="1">
      <c r="A31" s="1" t="s">
        <v>23</v>
      </c>
      <c r="B31" s="1">
        <f>(B30/B29)/12</f>
        <v>3007.0133372274145</v>
      </c>
      <c r="C31" s="1">
        <v>0</v>
      </c>
      <c r="D31" s="1">
        <f>(D30/D29)/12</f>
        <v>1862.2222222222224</v>
      </c>
      <c r="E31" s="2" t="s">
        <v>32</v>
      </c>
      <c r="F31" s="1">
        <f>(F30/F29)/12</f>
        <v>4612.364046973803</v>
      </c>
      <c r="G31" s="2" t="s">
        <v>32</v>
      </c>
      <c r="H31" s="1">
        <f aca="true" t="shared" si="3" ref="H31:M31">(H30/H29)/12</f>
        <v>1543.9754901960785</v>
      </c>
      <c r="I31" s="1">
        <f t="shared" si="3"/>
        <v>2613.5</v>
      </c>
      <c r="J31" s="1">
        <f t="shared" si="3"/>
        <v>2170.8799019607845</v>
      </c>
      <c r="K31" s="1">
        <f t="shared" si="3"/>
        <v>371.90804597701145</v>
      </c>
      <c r="L31" s="1">
        <f t="shared" si="3"/>
        <v>1614.2051282051282</v>
      </c>
      <c r="M31" s="1">
        <f t="shared" si="3"/>
        <v>1930.0833333333333</v>
      </c>
      <c r="O31" s="1" t="s">
        <v>23</v>
      </c>
      <c r="P31" s="1">
        <f>P30/(P29*12)</f>
        <v>2215.2279166666667</v>
      </c>
      <c r="Q31" s="1">
        <f>(Q30/Q29)/12</f>
        <v>2419.970238095238</v>
      </c>
      <c r="R31" s="1">
        <f>(R30/R29)/12</f>
        <v>2005.998538011696</v>
      </c>
      <c r="S31" s="2" t="s">
        <v>32</v>
      </c>
      <c r="T31" s="1">
        <f>(T30/T29)/12</f>
        <v>3438.9505862646565</v>
      </c>
      <c r="U31" s="1">
        <v>0</v>
      </c>
      <c r="V31" s="1">
        <f>(V30/V29)/12</f>
        <v>1828.2604166666667</v>
      </c>
      <c r="W31" s="2" t="s">
        <v>32</v>
      </c>
      <c r="X31" s="1">
        <v>0</v>
      </c>
      <c r="Y31" s="1">
        <f>(Y30/Y29)/12</f>
        <v>746.8536036036036</v>
      </c>
      <c r="Z31" s="2" t="s">
        <v>32</v>
      </c>
      <c r="AA31" s="1">
        <f>(AA30/AA29)/12</f>
        <v>1472.2909779614326</v>
      </c>
      <c r="BU31" s="3"/>
    </row>
    <row r="32" spans="5:22" s="1" customFormat="1" ht="11.25" customHeight="1">
      <c r="E32" s="3"/>
      <c r="S32" s="3"/>
      <c r="V32" s="3"/>
    </row>
    <row r="33" spans="1:15" s="1" customFormat="1" ht="11.25" customHeight="1">
      <c r="A33" s="1" t="s">
        <v>5</v>
      </c>
      <c r="O33" s="1" t="s">
        <v>51</v>
      </c>
    </row>
    <row r="34" spans="1:75" s="1" customFormat="1" ht="11.25" customHeight="1">
      <c r="A34" s="1" t="s">
        <v>18</v>
      </c>
      <c r="B34" s="1">
        <f>+C34+D34+E34+F34+G34+H34+I34+J34+K34+L34+M34</f>
        <v>824</v>
      </c>
      <c r="C34" s="3">
        <v>3</v>
      </c>
      <c r="D34" s="1">
        <v>132</v>
      </c>
      <c r="E34" s="1">
        <v>45</v>
      </c>
      <c r="F34" s="1">
        <v>190</v>
      </c>
      <c r="G34" s="1">
        <v>16</v>
      </c>
      <c r="H34" s="1">
        <v>78</v>
      </c>
      <c r="I34" s="1">
        <v>79</v>
      </c>
      <c r="J34" s="1">
        <v>82</v>
      </c>
      <c r="K34" s="1">
        <v>74</v>
      </c>
      <c r="L34" s="1">
        <v>45</v>
      </c>
      <c r="M34" s="1">
        <v>80</v>
      </c>
      <c r="O34" s="1" t="s">
        <v>18</v>
      </c>
      <c r="P34" s="1">
        <f>+Q34+R34+S34+T34+U34+V34+W34+X34+Y34+Z34+AA34</f>
        <v>405</v>
      </c>
      <c r="Q34" s="1">
        <v>6</v>
      </c>
      <c r="R34" s="1">
        <v>34</v>
      </c>
      <c r="S34" s="1">
        <v>11</v>
      </c>
      <c r="T34" s="1">
        <v>91</v>
      </c>
      <c r="U34" s="1">
        <v>9</v>
      </c>
      <c r="V34" s="1">
        <v>29</v>
      </c>
      <c r="W34" s="1">
        <v>37</v>
      </c>
      <c r="X34" s="1">
        <v>19</v>
      </c>
      <c r="Y34" s="1">
        <v>100</v>
      </c>
      <c r="Z34" s="1">
        <v>15</v>
      </c>
      <c r="AA34" s="1">
        <v>54</v>
      </c>
      <c r="BW34" s="3"/>
    </row>
    <row r="35" spans="1:75" s="1" customFormat="1" ht="11.25" customHeight="1">
      <c r="A35" s="1" t="s">
        <v>20</v>
      </c>
      <c r="B35" s="1">
        <f>+C35+D35+E35+F35+G35+H35+I35+J35+K35+L35+M35</f>
        <v>12590</v>
      </c>
      <c r="C35" s="3">
        <v>3</v>
      </c>
      <c r="D35" s="1">
        <v>656</v>
      </c>
      <c r="E35" s="1">
        <v>1397</v>
      </c>
      <c r="F35" s="1">
        <v>2173</v>
      </c>
      <c r="G35" s="1">
        <v>127</v>
      </c>
      <c r="H35" s="1">
        <v>490</v>
      </c>
      <c r="I35" s="1">
        <v>1581</v>
      </c>
      <c r="J35" s="1">
        <v>1109</v>
      </c>
      <c r="K35" s="1">
        <v>1212</v>
      </c>
      <c r="L35" s="1">
        <v>226</v>
      </c>
      <c r="M35" s="1">
        <v>3616</v>
      </c>
      <c r="O35" s="1" t="s">
        <v>20</v>
      </c>
      <c r="P35" s="1">
        <f>+Q35+R35+S35+T35+U35+V35+W35+X35+Y35+Z35+AA35</f>
        <v>3808</v>
      </c>
      <c r="Q35" s="1">
        <v>70</v>
      </c>
      <c r="R35" s="1">
        <v>219</v>
      </c>
      <c r="S35" s="1">
        <v>57</v>
      </c>
      <c r="T35" s="1">
        <v>711</v>
      </c>
      <c r="U35" s="1">
        <v>39</v>
      </c>
      <c r="V35" s="1">
        <v>144</v>
      </c>
      <c r="W35" s="1">
        <v>142</v>
      </c>
      <c r="X35" s="1">
        <v>273</v>
      </c>
      <c r="Y35" s="1">
        <v>1266</v>
      </c>
      <c r="Z35" s="1">
        <v>45</v>
      </c>
      <c r="AA35" s="1">
        <v>842</v>
      </c>
      <c r="BW35" s="3"/>
    </row>
    <row r="36" spans="1:75" s="1" customFormat="1" ht="11.25" customHeight="1">
      <c r="A36" s="1" t="s">
        <v>21</v>
      </c>
      <c r="B36" s="1">
        <f>+C36+D36+E36+F36+G36+H36+I36+J36+K36+L36+M36</f>
        <v>264587236</v>
      </c>
      <c r="C36" s="3">
        <v>67690</v>
      </c>
      <c r="D36" s="1">
        <v>14364309</v>
      </c>
      <c r="E36" s="1">
        <v>39410354</v>
      </c>
      <c r="F36" s="1">
        <v>44954471</v>
      </c>
      <c r="G36" s="1">
        <v>2799907</v>
      </c>
      <c r="H36" s="1">
        <v>13379959</v>
      </c>
      <c r="I36" s="1">
        <v>21974579</v>
      </c>
      <c r="J36" s="1">
        <v>21132849</v>
      </c>
      <c r="K36" s="1">
        <v>10775144</v>
      </c>
      <c r="L36" s="1">
        <v>4177545</v>
      </c>
      <c r="M36" s="1">
        <v>91550429</v>
      </c>
      <c r="O36" s="1" t="s">
        <v>21</v>
      </c>
      <c r="P36" s="1">
        <f>+Q36+R36+S36+T36+U36+V36+W36+X36+Y36+Z36+AA36</f>
        <v>76286593</v>
      </c>
      <c r="Q36" s="1">
        <v>3035635</v>
      </c>
      <c r="R36" s="1">
        <v>5029440</v>
      </c>
      <c r="S36" s="1">
        <v>824711</v>
      </c>
      <c r="T36" s="1">
        <v>14970769</v>
      </c>
      <c r="U36" s="1">
        <v>890542</v>
      </c>
      <c r="V36" s="1">
        <v>2653838</v>
      </c>
      <c r="W36" s="1">
        <v>2778588</v>
      </c>
      <c r="X36" s="1">
        <v>5636585</v>
      </c>
      <c r="Y36" s="1">
        <v>15302877</v>
      </c>
      <c r="Z36" s="1">
        <v>817814</v>
      </c>
      <c r="AA36" s="1">
        <v>24345794</v>
      </c>
      <c r="BW36" s="3"/>
    </row>
    <row r="37" spans="1:75" s="1" customFormat="1" ht="11.25" customHeight="1">
      <c r="A37" s="1" t="s">
        <v>23</v>
      </c>
      <c r="B37" s="1">
        <f>(B36/B35)/12</f>
        <v>1751.3055070161502</v>
      </c>
      <c r="C37" s="1">
        <f aca="true" t="shared" si="4" ref="C37:M37">(C36/C35)/12</f>
        <v>1880.2777777777776</v>
      </c>
      <c r="D37" s="1">
        <f t="shared" si="4"/>
        <v>1824.734375</v>
      </c>
      <c r="E37" s="1">
        <f t="shared" si="4"/>
        <v>2350.892030541637</v>
      </c>
      <c r="F37" s="1">
        <f t="shared" si="4"/>
        <v>1723.9787927596255</v>
      </c>
      <c r="G37" s="1">
        <f t="shared" si="4"/>
        <v>1837.2093175853017</v>
      </c>
      <c r="H37" s="1">
        <f t="shared" si="4"/>
        <v>2275.5032312925173</v>
      </c>
      <c r="I37" s="1">
        <f t="shared" si="4"/>
        <v>1158.2637044064938</v>
      </c>
      <c r="J37" s="1">
        <f t="shared" si="4"/>
        <v>1587.9808385933275</v>
      </c>
      <c r="K37" s="1">
        <f t="shared" si="4"/>
        <v>740.8652365236525</v>
      </c>
      <c r="L37" s="1">
        <f t="shared" si="4"/>
        <v>1540.392699115044</v>
      </c>
      <c r="M37" s="1">
        <f t="shared" si="4"/>
        <v>2109.8458010693216</v>
      </c>
      <c r="O37" s="1" t="s">
        <v>23</v>
      </c>
      <c r="P37" s="1">
        <f>P36/(P35*12)</f>
        <v>1669.4369966736695</v>
      </c>
      <c r="Q37" s="1">
        <f aca="true" t="shared" si="5" ref="Q37:X37">Q36/(Q35*12)</f>
        <v>3613.8511904761904</v>
      </c>
      <c r="R37" s="1">
        <f t="shared" si="5"/>
        <v>1913.7899543378996</v>
      </c>
      <c r="S37" s="1">
        <f t="shared" si="5"/>
        <v>1205.71783625731</v>
      </c>
      <c r="T37" s="1">
        <f t="shared" si="5"/>
        <v>1754.6611579934365</v>
      </c>
      <c r="U37" s="1">
        <f t="shared" si="5"/>
        <v>1902.8675213675215</v>
      </c>
      <c r="V37" s="1">
        <f t="shared" si="5"/>
        <v>1535.7858796296296</v>
      </c>
      <c r="W37" s="1">
        <f t="shared" si="5"/>
        <v>1630.6267605633802</v>
      </c>
      <c r="X37" s="1">
        <f t="shared" si="5"/>
        <v>1720.5692918192917</v>
      </c>
      <c r="Y37" s="1">
        <f>Y36/(Y35*12)</f>
        <v>1007.2983807266983</v>
      </c>
      <c r="Z37" s="1">
        <f>Z36/(Z35*12)</f>
        <v>1514.4703703703703</v>
      </c>
      <c r="AA37" s="1">
        <f>AA36/(AA35*12)</f>
        <v>2409.520387965162</v>
      </c>
      <c r="BW37" s="3"/>
    </row>
    <row r="38" s="1" customFormat="1" ht="11.25" customHeight="1">
      <c r="BW38" s="3"/>
    </row>
    <row r="39" spans="1:15" s="1" customFormat="1" ht="11.25" customHeight="1">
      <c r="A39" s="1" t="s">
        <v>6</v>
      </c>
      <c r="O39" s="1" t="s">
        <v>119</v>
      </c>
    </row>
    <row r="40" spans="1:73" s="1" customFormat="1" ht="11.25" customHeight="1">
      <c r="A40" s="1" t="s">
        <v>18</v>
      </c>
      <c r="B40" s="1">
        <v>76</v>
      </c>
      <c r="C40" s="3">
        <v>0</v>
      </c>
      <c r="D40" s="1">
        <v>10</v>
      </c>
      <c r="E40" s="3">
        <v>4</v>
      </c>
      <c r="F40" s="3">
        <v>11</v>
      </c>
      <c r="G40" s="3">
        <v>0</v>
      </c>
      <c r="H40" s="1">
        <v>5</v>
      </c>
      <c r="I40" s="1">
        <v>12</v>
      </c>
      <c r="J40" s="2" t="s">
        <v>32</v>
      </c>
      <c r="K40" s="1">
        <v>8</v>
      </c>
      <c r="L40" s="2" t="s">
        <v>32</v>
      </c>
      <c r="M40" s="1">
        <v>22</v>
      </c>
      <c r="O40" s="1" t="s">
        <v>18</v>
      </c>
      <c r="P40" s="1">
        <v>97</v>
      </c>
      <c r="Q40" s="2" t="s">
        <v>32</v>
      </c>
      <c r="R40" s="1">
        <v>10</v>
      </c>
      <c r="S40" s="2" t="s">
        <v>32</v>
      </c>
      <c r="T40" s="1">
        <v>16</v>
      </c>
      <c r="U40" s="2" t="s">
        <v>32</v>
      </c>
      <c r="V40" s="1">
        <v>5</v>
      </c>
      <c r="W40" s="1">
        <v>5</v>
      </c>
      <c r="X40" s="1">
        <v>6</v>
      </c>
      <c r="Y40" s="1">
        <v>11</v>
      </c>
      <c r="Z40" s="1">
        <v>5</v>
      </c>
      <c r="AA40" s="1">
        <v>34</v>
      </c>
      <c r="BU40" s="3"/>
    </row>
    <row r="41" spans="1:73" s="1" customFormat="1" ht="11.25" customHeight="1">
      <c r="A41" s="1" t="s">
        <v>20</v>
      </c>
      <c r="B41" s="1">
        <v>762</v>
      </c>
      <c r="C41" s="3">
        <v>0</v>
      </c>
      <c r="D41" s="1">
        <v>116</v>
      </c>
      <c r="E41" s="3">
        <v>26</v>
      </c>
      <c r="F41" s="3">
        <v>72</v>
      </c>
      <c r="G41" s="3">
        <v>0</v>
      </c>
      <c r="H41" s="1">
        <v>13</v>
      </c>
      <c r="I41" s="1">
        <v>59</v>
      </c>
      <c r="J41" s="2" t="s">
        <v>32</v>
      </c>
      <c r="K41" s="1">
        <v>95</v>
      </c>
      <c r="L41" s="2" t="s">
        <v>32</v>
      </c>
      <c r="M41" s="1">
        <v>372</v>
      </c>
      <c r="O41" s="1" t="s">
        <v>20</v>
      </c>
      <c r="P41" s="1">
        <v>967</v>
      </c>
      <c r="Q41" s="2" t="s">
        <v>32</v>
      </c>
      <c r="R41" s="1">
        <v>59</v>
      </c>
      <c r="S41" s="2" t="s">
        <v>32</v>
      </c>
      <c r="T41" s="1">
        <v>151</v>
      </c>
      <c r="U41" s="2" t="s">
        <v>32</v>
      </c>
      <c r="V41" s="1">
        <v>18</v>
      </c>
      <c r="W41" s="1">
        <v>13</v>
      </c>
      <c r="X41" s="1">
        <v>67</v>
      </c>
      <c r="Y41" s="1">
        <v>90</v>
      </c>
      <c r="Z41" s="1">
        <v>18</v>
      </c>
      <c r="AA41" s="1">
        <v>496</v>
      </c>
      <c r="BU41" s="3"/>
    </row>
    <row r="42" spans="1:73" s="1" customFormat="1" ht="11.25" customHeight="1">
      <c r="A42" s="1" t="s">
        <v>21</v>
      </c>
      <c r="B42" s="1">
        <v>20216633</v>
      </c>
      <c r="C42" s="3">
        <v>0</v>
      </c>
      <c r="D42" s="1">
        <v>3934379</v>
      </c>
      <c r="E42" s="3">
        <v>773342</v>
      </c>
      <c r="F42" s="3">
        <v>1442962</v>
      </c>
      <c r="G42" s="3">
        <v>0</v>
      </c>
      <c r="H42" s="1">
        <v>350427</v>
      </c>
      <c r="I42" s="1">
        <v>1941991</v>
      </c>
      <c r="J42" s="2" t="s">
        <v>32</v>
      </c>
      <c r="K42" s="1">
        <v>578169</v>
      </c>
      <c r="L42" s="2" t="s">
        <v>32</v>
      </c>
      <c r="M42" s="1">
        <v>10988910</v>
      </c>
      <c r="O42" s="1" t="s">
        <v>21</v>
      </c>
      <c r="P42" s="1">
        <v>21634478</v>
      </c>
      <c r="Q42" s="2" t="s">
        <v>32</v>
      </c>
      <c r="R42" s="1">
        <v>1546103</v>
      </c>
      <c r="S42" s="2" t="s">
        <v>32</v>
      </c>
      <c r="T42" s="1">
        <v>2562487</v>
      </c>
      <c r="U42" s="2" t="s">
        <v>32</v>
      </c>
      <c r="V42" s="1">
        <v>383785</v>
      </c>
      <c r="W42" s="1">
        <v>218835</v>
      </c>
      <c r="X42" s="1">
        <v>1409982</v>
      </c>
      <c r="Y42" s="1">
        <v>680133</v>
      </c>
      <c r="Z42" s="1">
        <v>261915</v>
      </c>
      <c r="AA42" s="1">
        <v>13416963</v>
      </c>
      <c r="BU42" s="3"/>
    </row>
    <row r="43" spans="1:73" s="1" customFormat="1" ht="11.25" customHeight="1">
      <c r="A43" s="1" t="s">
        <v>23</v>
      </c>
      <c r="B43" s="1">
        <f>(B42/B41)/12</f>
        <v>2210.917869641295</v>
      </c>
      <c r="C43" s="3">
        <v>0</v>
      </c>
      <c r="D43" s="1">
        <f>(D42/D41)/12</f>
        <v>2826.421695402299</v>
      </c>
      <c r="E43" s="1">
        <f>(E42/E41)/12</f>
        <v>2478.6602564102564</v>
      </c>
      <c r="F43" s="1">
        <f>(F42/F41)/12</f>
        <v>1670.0949074074076</v>
      </c>
      <c r="G43" s="3">
        <v>0</v>
      </c>
      <c r="H43" s="1">
        <f>(H42/H41)/12</f>
        <v>2246.3269230769233</v>
      </c>
      <c r="I43" s="1">
        <f>(I42/I41)/12</f>
        <v>2742.925141242938</v>
      </c>
      <c r="J43" s="2" t="s">
        <v>32</v>
      </c>
      <c r="K43" s="1">
        <f>(K42/K41)/12</f>
        <v>507.16578947368424</v>
      </c>
      <c r="L43" s="2" t="s">
        <v>32</v>
      </c>
      <c r="M43" s="1">
        <f>(M42/M41)/12</f>
        <v>2461.673387096774</v>
      </c>
      <c r="O43" s="1" t="s">
        <v>23</v>
      </c>
      <c r="P43" s="1">
        <f>P42/(P41*12)</f>
        <v>1864.3983109272665</v>
      </c>
      <c r="Q43" s="2" t="s">
        <v>32</v>
      </c>
      <c r="R43" s="1">
        <f>R42/(R41*12)</f>
        <v>2183.7612994350284</v>
      </c>
      <c r="S43" s="2" t="s">
        <v>32</v>
      </c>
      <c r="T43" s="1">
        <f>T42/(T41*12)</f>
        <v>1414.1760485651214</v>
      </c>
      <c r="U43" s="2" t="s">
        <v>32</v>
      </c>
      <c r="V43" s="1">
        <f aca="true" t="shared" si="6" ref="V43:AA43">V42/(V41*12)</f>
        <v>1776.7824074074074</v>
      </c>
      <c r="W43" s="1">
        <f t="shared" si="6"/>
        <v>1402.7884615384614</v>
      </c>
      <c r="X43" s="1">
        <f t="shared" si="6"/>
        <v>1753.7089552238806</v>
      </c>
      <c r="Y43" s="1">
        <f t="shared" si="6"/>
        <v>629.7527777777777</v>
      </c>
      <c r="Z43" s="1">
        <f t="shared" si="6"/>
        <v>1212.5694444444443</v>
      </c>
      <c r="AA43" s="1">
        <f t="shared" si="6"/>
        <v>2254.1940524193546</v>
      </c>
      <c r="BU43" s="3"/>
    </row>
    <row r="44" spans="17:21" s="1" customFormat="1" ht="11.25" customHeight="1">
      <c r="Q44" s="2"/>
      <c r="U44" s="1" t="s">
        <v>0</v>
      </c>
    </row>
    <row r="45" spans="1:17" s="1" customFormat="1" ht="11.25" customHeight="1">
      <c r="A45" s="1" t="s">
        <v>83</v>
      </c>
      <c r="O45" s="1" t="s">
        <v>52</v>
      </c>
      <c r="Q45" s="2"/>
    </row>
    <row r="46" spans="1:76" s="1" customFormat="1" ht="11.25" customHeight="1">
      <c r="A46" s="1" t="s">
        <v>18</v>
      </c>
      <c r="B46" s="1">
        <f>154+1</f>
        <v>155</v>
      </c>
      <c r="C46" s="2" t="s">
        <v>32</v>
      </c>
      <c r="D46" s="1">
        <v>13</v>
      </c>
      <c r="E46" s="1">
        <v>9</v>
      </c>
      <c r="F46" s="1">
        <f>43+1</f>
        <v>44</v>
      </c>
      <c r="G46" s="1">
        <v>7</v>
      </c>
      <c r="H46" s="1">
        <v>7</v>
      </c>
      <c r="I46" s="1">
        <v>11</v>
      </c>
      <c r="J46" s="1">
        <v>13</v>
      </c>
      <c r="K46" s="1">
        <v>15</v>
      </c>
      <c r="L46" s="2" t="s">
        <v>32</v>
      </c>
      <c r="M46" s="1">
        <v>29</v>
      </c>
      <c r="O46" s="1" t="s">
        <v>18</v>
      </c>
      <c r="P46" s="1">
        <v>147</v>
      </c>
      <c r="Q46" s="2" t="s">
        <v>32</v>
      </c>
      <c r="R46" s="1">
        <v>39</v>
      </c>
      <c r="S46" s="1">
        <v>11</v>
      </c>
      <c r="T46" s="3">
        <v>29</v>
      </c>
      <c r="U46" s="1">
        <v>0</v>
      </c>
      <c r="V46" s="1">
        <v>9</v>
      </c>
      <c r="W46" s="1">
        <v>10</v>
      </c>
      <c r="X46" s="2" t="s">
        <v>32</v>
      </c>
      <c r="Y46" s="1">
        <v>15</v>
      </c>
      <c r="Z46" s="1">
        <v>6</v>
      </c>
      <c r="AA46" s="1">
        <v>25</v>
      </c>
      <c r="BU46" s="3"/>
      <c r="BW46" s="3"/>
      <c r="BX46" s="3"/>
    </row>
    <row r="47" spans="1:76" s="1" customFormat="1" ht="11.25" customHeight="1">
      <c r="A47" s="1" t="s">
        <v>20</v>
      </c>
      <c r="B47" s="1">
        <f>1686+477</f>
        <v>2163</v>
      </c>
      <c r="C47" s="2" t="s">
        <v>32</v>
      </c>
      <c r="D47" s="1">
        <v>41</v>
      </c>
      <c r="E47" s="1">
        <v>97</v>
      </c>
      <c r="F47" s="1">
        <f>477+391</f>
        <v>868</v>
      </c>
      <c r="G47" s="1">
        <v>27</v>
      </c>
      <c r="H47" s="1">
        <v>43</v>
      </c>
      <c r="I47" s="1">
        <v>64</v>
      </c>
      <c r="J47" s="1">
        <v>179</v>
      </c>
      <c r="K47" s="1">
        <v>218</v>
      </c>
      <c r="L47" s="2" t="s">
        <v>32</v>
      </c>
      <c r="M47" s="1">
        <v>522</v>
      </c>
      <c r="O47" s="1" t="s">
        <v>20</v>
      </c>
      <c r="P47" s="1">
        <v>1299</v>
      </c>
      <c r="Q47" s="2" t="s">
        <v>32</v>
      </c>
      <c r="R47" s="1">
        <v>227</v>
      </c>
      <c r="S47" s="1">
        <v>101</v>
      </c>
      <c r="T47" s="3">
        <v>343</v>
      </c>
      <c r="U47" s="1">
        <v>0</v>
      </c>
      <c r="V47" s="1">
        <v>36</v>
      </c>
      <c r="W47" s="1">
        <v>45</v>
      </c>
      <c r="X47" s="2" t="s">
        <v>32</v>
      </c>
      <c r="Y47" s="1">
        <v>148</v>
      </c>
      <c r="Z47" s="1">
        <v>13</v>
      </c>
      <c r="AA47" s="1">
        <v>369</v>
      </c>
      <c r="BU47" s="3"/>
      <c r="BW47" s="3"/>
      <c r="BX47" s="3"/>
    </row>
    <row r="48" spans="1:76" s="1" customFormat="1" ht="11.25" customHeight="1">
      <c r="A48" s="1" t="s">
        <v>21</v>
      </c>
      <c r="B48" s="1">
        <f>30059892+36996017</f>
        <v>67055909</v>
      </c>
      <c r="C48" s="2" t="s">
        <v>32</v>
      </c>
      <c r="D48" s="1">
        <v>776723</v>
      </c>
      <c r="E48" s="1">
        <v>3350018</v>
      </c>
      <c r="F48" s="1">
        <f>30059892+7296095</f>
        <v>37355987</v>
      </c>
      <c r="G48" s="1">
        <v>597267</v>
      </c>
      <c r="H48" s="1">
        <v>973567</v>
      </c>
      <c r="I48" s="1">
        <v>1016986</v>
      </c>
      <c r="J48" s="1">
        <v>4127652</v>
      </c>
      <c r="K48" s="1">
        <v>1353286</v>
      </c>
      <c r="L48" s="2" t="s">
        <v>32</v>
      </c>
      <c r="M48" s="1">
        <v>13677666</v>
      </c>
      <c r="O48" s="1" t="s">
        <v>21</v>
      </c>
      <c r="P48" s="1">
        <v>29786465</v>
      </c>
      <c r="Q48" s="2" t="s">
        <v>32</v>
      </c>
      <c r="R48" s="1">
        <v>5783801</v>
      </c>
      <c r="S48" s="1">
        <v>1910147</v>
      </c>
      <c r="T48" s="3">
        <v>9906173</v>
      </c>
      <c r="U48" s="1">
        <v>0</v>
      </c>
      <c r="V48" s="1">
        <v>807483</v>
      </c>
      <c r="W48" s="1">
        <v>690087</v>
      </c>
      <c r="X48" s="2" t="s">
        <v>32</v>
      </c>
      <c r="Y48" s="1">
        <v>942473</v>
      </c>
      <c r="Z48" s="1">
        <v>241393</v>
      </c>
      <c r="AA48" s="1">
        <v>9157666</v>
      </c>
      <c r="BU48" s="3"/>
      <c r="BW48" s="3"/>
      <c r="BX48" s="3"/>
    </row>
    <row r="49" spans="1:76" s="1" customFormat="1" ht="11.25" customHeight="1">
      <c r="A49" s="1" t="s">
        <v>23</v>
      </c>
      <c r="B49" s="1">
        <f>(B48/B47)/12</f>
        <v>2583.4454076128836</v>
      </c>
      <c r="C49" s="2" t="s">
        <v>32</v>
      </c>
      <c r="D49" s="1">
        <f aca="true" t="shared" si="7" ref="D49:K49">(D48/D47)/12</f>
        <v>1578.7052845528453</v>
      </c>
      <c r="E49" s="1">
        <f t="shared" si="7"/>
        <v>2878.0223367697595</v>
      </c>
      <c r="F49" s="1">
        <f t="shared" si="7"/>
        <v>3586.40428187404</v>
      </c>
      <c r="G49" s="1">
        <f t="shared" si="7"/>
        <v>1843.4166666666667</v>
      </c>
      <c r="H49" s="1">
        <f t="shared" si="7"/>
        <v>1886.7577519379845</v>
      </c>
      <c r="I49" s="1">
        <f t="shared" si="7"/>
        <v>1324.2005208333333</v>
      </c>
      <c r="J49" s="1">
        <f t="shared" si="7"/>
        <v>1921.6256983240226</v>
      </c>
      <c r="K49" s="1">
        <f t="shared" si="7"/>
        <v>517.3111620795107</v>
      </c>
      <c r="L49" s="2" t="s">
        <v>32</v>
      </c>
      <c r="M49" s="1">
        <f>(M48/M47)/12</f>
        <v>2183.535440613027</v>
      </c>
      <c r="O49" s="1" t="s">
        <v>23</v>
      </c>
      <c r="P49" s="1">
        <f>P48/(P47*12)</f>
        <v>1910.8586733384655</v>
      </c>
      <c r="Q49" s="2" t="s">
        <v>32</v>
      </c>
      <c r="R49" s="1">
        <f>R48/(R47*12)</f>
        <v>2123.2749632892805</v>
      </c>
      <c r="S49" s="1">
        <f>S48/(S47*12)</f>
        <v>1576.0288778877887</v>
      </c>
      <c r="T49" s="1">
        <f>(T48/T47)/12</f>
        <v>2406.747570456754</v>
      </c>
      <c r="U49" s="1">
        <v>0</v>
      </c>
      <c r="V49" s="1">
        <f>(V48/V47)/12</f>
        <v>1869.173611111111</v>
      </c>
      <c r="W49" s="1">
        <f>(W48/W47)/12</f>
        <v>1277.9388888888889</v>
      </c>
      <c r="X49" s="2" t="s">
        <v>32</v>
      </c>
      <c r="Y49" s="1">
        <f>(Y48/Y47)/12</f>
        <v>530.6717342342342</v>
      </c>
      <c r="Z49" s="1">
        <f>(Z48/Z47)/12</f>
        <v>1547.3910256410256</v>
      </c>
      <c r="AA49" s="1">
        <f>(AA48/AA47)/12</f>
        <v>2068.126919602529</v>
      </c>
      <c r="BU49" s="3"/>
      <c r="BW49" s="3"/>
      <c r="BX49" s="3"/>
    </row>
    <row r="50" s="1" customFormat="1" ht="11.25" customHeight="1">
      <c r="Q50" s="2"/>
    </row>
    <row r="51" spans="1:17" s="1" customFormat="1" ht="11.25" customHeight="1">
      <c r="A51" s="1" t="s">
        <v>10</v>
      </c>
      <c r="O51" s="1" t="s">
        <v>120</v>
      </c>
      <c r="Q51" s="2"/>
    </row>
    <row r="52" spans="1:73" s="1" customFormat="1" ht="11.25" customHeight="1">
      <c r="A52" s="1" t="s">
        <v>18</v>
      </c>
      <c r="B52" s="1">
        <v>72</v>
      </c>
      <c r="C52" s="2" t="s">
        <v>32</v>
      </c>
      <c r="D52" s="1">
        <v>6</v>
      </c>
      <c r="E52" s="1">
        <v>3</v>
      </c>
      <c r="F52" s="1">
        <v>12</v>
      </c>
      <c r="G52" s="2" t="s">
        <v>32</v>
      </c>
      <c r="H52" s="1">
        <v>4</v>
      </c>
      <c r="I52" s="1">
        <v>6</v>
      </c>
      <c r="J52" s="1">
        <v>4</v>
      </c>
      <c r="K52" s="1">
        <v>6</v>
      </c>
      <c r="L52" s="7">
        <v>3</v>
      </c>
      <c r="M52" s="1">
        <v>24</v>
      </c>
      <c r="O52" s="1" t="s">
        <v>18</v>
      </c>
      <c r="P52" s="1">
        <v>109</v>
      </c>
      <c r="Q52" s="2" t="s">
        <v>32</v>
      </c>
      <c r="R52" s="1">
        <v>18</v>
      </c>
      <c r="S52" s="1">
        <v>5</v>
      </c>
      <c r="T52" s="1">
        <v>27</v>
      </c>
      <c r="U52" s="2" t="s">
        <v>32</v>
      </c>
      <c r="V52" s="1">
        <v>9</v>
      </c>
      <c r="W52" s="1">
        <v>5</v>
      </c>
      <c r="X52" s="1">
        <v>11</v>
      </c>
      <c r="Y52" s="1">
        <v>10</v>
      </c>
      <c r="Z52" s="1">
        <v>4</v>
      </c>
      <c r="AA52" s="1">
        <v>19</v>
      </c>
      <c r="BU52" s="3"/>
    </row>
    <row r="53" spans="1:73" s="1" customFormat="1" ht="11.25" customHeight="1">
      <c r="A53" s="1" t="s">
        <v>20</v>
      </c>
      <c r="B53" s="1">
        <v>835</v>
      </c>
      <c r="C53" s="2" t="s">
        <v>32</v>
      </c>
      <c r="D53" s="1">
        <v>29</v>
      </c>
      <c r="E53" s="1">
        <v>57</v>
      </c>
      <c r="F53" s="1">
        <v>106</v>
      </c>
      <c r="G53" s="2" t="s">
        <v>32</v>
      </c>
      <c r="H53" s="1">
        <v>12</v>
      </c>
      <c r="I53" s="1">
        <v>22</v>
      </c>
      <c r="J53" s="1">
        <v>150</v>
      </c>
      <c r="K53" s="1">
        <v>29</v>
      </c>
      <c r="L53" s="7">
        <v>7</v>
      </c>
      <c r="M53" s="1">
        <v>418</v>
      </c>
      <c r="O53" s="1" t="s">
        <v>20</v>
      </c>
      <c r="P53" s="1">
        <v>1146</v>
      </c>
      <c r="Q53" s="2" t="s">
        <v>32</v>
      </c>
      <c r="R53" s="1">
        <v>125</v>
      </c>
      <c r="S53" s="1">
        <v>31</v>
      </c>
      <c r="T53" s="1">
        <v>250</v>
      </c>
      <c r="U53" s="2" t="s">
        <v>32</v>
      </c>
      <c r="V53" s="1">
        <v>40</v>
      </c>
      <c r="W53" s="1">
        <v>17</v>
      </c>
      <c r="X53" s="1">
        <v>304</v>
      </c>
      <c r="Y53" s="1">
        <v>77</v>
      </c>
      <c r="Z53" s="1">
        <v>12</v>
      </c>
      <c r="AA53" s="1">
        <v>276</v>
      </c>
      <c r="BU53" s="3"/>
    </row>
    <row r="54" spans="1:73" s="1" customFormat="1" ht="11.25" customHeight="1">
      <c r="A54" s="1" t="s">
        <v>21</v>
      </c>
      <c r="B54" s="1">
        <v>17149525</v>
      </c>
      <c r="C54" s="2" t="s">
        <v>32</v>
      </c>
      <c r="D54" s="1">
        <v>469018</v>
      </c>
      <c r="E54" s="1">
        <v>1958926</v>
      </c>
      <c r="F54" s="1">
        <v>1334927</v>
      </c>
      <c r="G54" s="2" t="s">
        <v>32</v>
      </c>
      <c r="H54" s="1">
        <v>267394</v>
      </c>
      <c r="I54" s="1">
        <v>534878</v>
      </c>
      <c r="J54" s="1">
        <v>3769721</v>
      </c>
      <c r="K54" s="1">
        <v>210755</v>
      </c>
      <c r="L54" s="7">
        <v>95285</v>
      </c>
      <c r="M54" s="1">
        <v>8349036</v>
      </c>
      <c r="O54" s="1" t="s">
        <v>21</v>
      </c>
      <c r="P54" s="1">
        <v>20910690</v>
      </c>
      <c r="Q54" s="2" t="s">
        <v>32</v>
      </c>
      <c r="R54" s="1">
        <v>3067365</v>
      </c>
      <c r="S54" s="1">
        <v>549735</v>
      </c>
      <c r="T54" s="1">
        <v>2933052</v>
      </c>
      <c r="U54" s="2" t="s">
        <v>32</v>
      </c>
      <c r="V54" s="1">
        <v>740113</v>
      </c>
      <c r="W54" s="1">
        <v>318205</v>
      </c>
      <c r="X54" s="1">
        <v>6682217</v>
      </c>
      <c r="Y54" s="1">
        <v>479362</v>
      </c>
      <c r="Z54" s="1">
        <v>132252</v>
      </c>
      <c r="AA54" s="1">
        <v>5764356</v>
      </c>
      <c r="BU54" s="3"/>
    </row>
    <row r="55" spans="1:73" s="1" customFormat="1" ht="11.25" customHeight="1">
      <c r="A55" s="1" t="s">
        <v>23</v>
      </c>
      <c r="B55" s="1">
        <f>(B54/B53)/12</f>
        <v>1711.5294411177645</v>
      </c>
      <c r="C55" s="2" t="s">
        <v>32</v>
      </c>
      <c r="D55" s="1">
        <f>(D54/D53)/12</f>
        <v>1347.7528735632184</v>
      </c>
      <c r="E55" s="1">
        <f>(E54/E53)/12</f>
        <v>2863.926900584795</v>
      </c>
      <c r="F55" s="1">
        <f>(F54/F53)/12</f>
        <v>1049.4709119496854</v>
      </c>
      <c r="G55" s="2" t="s">
        <v>32</v>
      </c>
      <c r="H55" s="1">
        <f aca="true" t="shared" si="8" ref="H55:M55">(H54/H53)/12</f>
        <v>1856.9027777777776</v>
      </c>
      <c r="I55" s="1">
        <f t="shared" si="8"/>
        <v>2026.0530303030303</v>
      </c>
      <c r="J55" s="1">
        <f t="shared" si="8"/>
        <v>2094.289444444444</v>
      </c>
      <c r="K55" s="1">
        <f t="shared" si="8"/>
        <v>605.6178160919541</v>
      </c>
      <c r="L55" s="1">
        <f t="shared" si="8"/>
        <v>1134.345238095238</v>
      </c>
      <c r="M55" s="1">
        <f t="shared" si="8"/>
        <v>1664.4808612440193</v>
      </c>
      <c r="O55" s="1" t="s">
        <v>23</v>
      </c>
      <c r="P55" s="1">
        <f>P54/(P53*12)</f>
        <v>1520.556282722513</v>
      </c>
      <c r="Q55" s="2" t="s">
        <v>32</v>
      </c>
      <c r="R55" s="1">
        <f>R54/(R53*12)</f>
        <v>2044.91</v>
      </c>
      <c r="S55" s="1">
        <f>S54/(S53*12)</f>
        <v>1477.782258064516</v>
      </c>
      <c r="T55" s="1">
        <f>(T54/T53)/12</f>
        <v>977.6840000000001</v>
      </c>
      <c r="U55" s="2" t="s">
        <v>32</v>
      </c>
      <c r="V55" s="1">
        <f aca="true" t="shared" si="9" ref="V55:AA55">V54/(V53*12)</f>
        <v>1541.9020833333334</v>
      </c>
      <c r="W55" s="1">
        <f t="shared" si="9"/>
        <v>1559.828431372549</v>
      </c>
      <c r="X55" s="1">
        <f t="shared" si="9"/>
        <v>1831.748081140351</v>
      </c>
      <c r="Y55" s="1">
        <f t="shared" si="9"/>
        <v>518.7900432900433</v>
      </c>
      <c r="Z55" s="1">
        <f t="shared" si="9"/>
        <v>918.4166666666666</v>
      </c>
      <c r="AA55" s="1">
        <f t="shared" si="9"/>
        <v>1740.445652173913</v>
      </c>
      <c r="BU55" s="3"/>
    </row>
    <row r="56" s="1" customFormat="1" ht="11.25" customHeight="1">
      <c r="Q56" s="2"/>
    </row>
    <row r="57" spans="15:17" s="1" customFormat="1" ht="11.25" customHeight="1">
      <c r="O57" s="1" t="s">
        <v>53</v>
      </c>
      <c r="Q57" s="2"/>
    </row>
    <row r="58" spans="15:62" s="1" customFormat="1" ht="11.25" customHeight="1">
      <c r="O58" s="1" t="s">
        <v>18</v>
      </c>
      <c r="P58" s="1">
        <v>169</v>
      </c>
      <c r="Q58" s="2" t="s">
        <v>32</v>
      </c>
      <c r="R58" s="1">
        <v>20</v>
      </c>
      <c r="S58" s="1">
        <v>9</v>
      </c>
      <c r="T58" s="1">
        <v>39</v>
      </c>
      <c r="U58" s="1">
        <v>0</v>
      </c>
      <c r="V58" s="1">
        <v>8</v>
      </c>
      <c r="W58" s="1">
        <v>14</v>
      </c>
      <c r="X58" s="1">
        <v>8</v>
      </c>
      <c r="Y58" s="1">
        <v>24</v>
      </c>
      <c r="Z58" s="2" t="s">
        <v>32</v>
      </c>
      <c r="AA58" s="1">
        <v>35</v>
      </c>
      <c r="BF58" s="3"/>
      <c r="BG58" s="3"/>
      <c r="BJ58" s="3"/>
    </row>
    <row r="59" spans="15:62" s="1" customFormat="1" ht="11.25" customHeight="1">
      <c r="O59" s="1" t="s">
        <v>20</v>
      </c>
      <c r="P59" s="1">
        <v>2295</v>
      </c>
      <c r="Q59" s="2" t="s">
        <v>32</v>
      </c>
      <c r="R59" s="1">
        <v>224</v>
      </c>
      <c r="S59" s="1">
        <v>287</v>
      </c>
      <c r="T59" s="1">
        <v>339</v>
      </c>
      <c r="U59" s="1">
        <v>0</v>
      </c>
      <c r="V59" s="1">
        <v>42</v>
      </c>
      <c r="W59" s="1">
        <v>282</v>
      </c>
      <c r="X59" s="1">
        <v>171</v>
      </c>
      <c r="Y59" s="1">
        <v>404</v>
      </c>
      <c r="Z59" s="2" t="s">
        <v>32</v>
      </c>
      <c r="AA59" s="1">
        <v>444</v>
      </c>
      <c r="BF59" s="3"/>
      <c r="BG59" s="3"/>
      <c r="BJ59" s="3"/>
    </row>
    <row r="60" spans="15:62" s="1" customFormat="1" ht="11.25" customHeight="1">
      <c r="O60" s="1" t="s">
        <v>21</v>
      </c>
      <c r="P60" s="1">
        <v>57877612</v>
      </c>
      <c r="Q60" s="2" t="s">
        <v>32</v>
      </c>
      <c r="R60" s="1">
        <v>11736633</v>
      </c>
      <c r="S60" s="1">
        <v>10549829</v>
      </c>
      <c r="T60" s="1">
        <v>5808700</v>
      </c>
      <c r="U60" s="1">
        <v>0</v>
      </c>
      <c r="V60" s="1">
        <v>892729</v>
      </c>
      <c r="W60" s="1">
        <v>9759171</v>
      </c>
      <c r="X60" s="1">
        <v>2479848</v>
      </c>
      <c r="Y60" s="1">
        <v>3159474</v>
      </c>
      <c r="Z60" s="2" t="s">
        <v>32</v>
      </c>
      <c r="AA60" s="1">
        <v>11060626</v>
      </c>
      <c r="BF60" s="3"/>
      <c r="BG60" s="3"/>
      <c r="BJ60" s="3"/>
    </row>
    <row r="61" spans="15:62" s="1" customFormat="1" ht="11.25" customHeight="1">
      <c r="O61" s="1" t="s">
        <v>23</v>
      </c>
      <c r="P61" s="1">
        <f>P60/(P59*12)</f>
        <v>2101.583587509078</v>
      </c>
      <c r="Q61" s="2" t="s">
        <v>32</v>
      </c>
      <c r="R61" s="1">
        <f>R60/(R59*12)</f>
        <v>4366.306919642857</v>
      </c>
      <c r="S61" s="1">
        <f>S60/(S59*12)</f>
        <v>3063.248838559814</v>
      </c>
      <c r="T61" s="1">
        <f>T60/(T59*12)</f>
        <v>1427.9006882989183</v>
      </c>
      <c r="U61" s="1">
        <v>0</v>
      </c>
      <c r="V61" s="1">
        <f>(V60/V59)/12</f>
        <v>1771.2876984126985</v>
      </c>
      <c r="W61" s="1">
        <f>W60/(W59*12)</f>
        <v>2883.915780141844</v>
      </c>
      <c r="X61" s="1">
        <f>X60/(X59*12)</f>
        <v>1208.5029239766081</v>
      </c>
      <c r="Y61" s="1">
        <f>Y60/(Y59*12)</f>
        <v>651.7066831683169</v>
      </c>
      <c r="Z61" s="2" t="s">
        <v>32</v>
      </c>
      <c r="AA61" s="1">
        <f>AA60/(AA59*12)</f>
        <v>2075.9433183183182</v>
      </c>
      <c r="BF61" s="3"/>
      <c r="BG61" s="3"/>
      <c r="BJ61" s="3"/>
    </row>
    <row r="62" s="1" customFormat="1" ht="11.25" customHeight="1"/>
    <row r="63" s="1" customFormat="1" ht="11.25" customHeight="1">
      <c r="A63" s="1" t="s">
        <v>91</v>
      </c>
    </row>
    <row r="64" s="1" customFormat="1" ht="11.25" customHeight="1">
      <c r="A64" s="1" t="s">
        <v>93</v>
      </c>
    </row>
    <row r="65" s="1" customFormat="1" ht="11.25" customHeight="1"/>
    <row r="66" spans="2:16" s="1" customFormat="1" ht="11.25" customHeight="1">
      <c r="B66" s="1" t="s">
        <v>162</v>
      </c>
      <c r="P66" s="1" t="s">
        <v>194</v>
      </c>
    </row>
    <row r="67" spans="3:17" s="1" customFormat="1" ht="11.25" customHeight="1">
      <c r="C67" s="1" t="s">
        <v>198</v>
      </c>
      <c r="Q67" s="1" t="s">
        <v>193</v>
      </c>
    </row>
    <row r="68" s="1" customFormat="1" ht="11.25" customHeight="1"/>
    <row r="69" spans="2:71" s="1" customFormat="1" ht="11.25" customHeight="1">
      <c r="B69" s="2"/>
      <c r="P69" s="2"/>
      <c r="AQ69" s="2"/>
      <c r="BS69" s="2"/>
    </row>
    <row r="70" spans="2:71" s="1" customFormat="1" ht="11.25" customHeight="1">
      <c r="B70" s="2"/>
      <c r="F70" s="1" t="s">
        <v>124</v>
      </c>
      <c r="P70" s="2"/>
      <c r="T70" s="1" t="s">
        <v>124</v>
      </c>
      <c r="BE70" s="2"/>
      <c r="BS70" s="2"/>
    </row>
    <row r="71" spans="6:57" s="1" customFormat="1" ht="11.25" customHeight="1">
      <c r="F71" s="1" t="s">
        <v>187</v>
      </c>
      <c r="H71" s="2" t="s">
        <v>128</v>
      </c>
      <c r="I71" s="1" t="s">
        <v>129</v>
      </c>
      <c r="J71" s="2" t="s">
        <v>131</v>
      </c>
      <c r="K71" s="2" t="s">
        <v>133</v>
      </c>
      <c r="L71" s="2"/>
      <c r="M71" s="2"/>
      <c r="N71" s="2"/>
      <c r="T71" s="1" t="s">
        <v>187</v>
      </c>
      <c r="V71" s="2" t="s">
        <v>128</v>
      </c>
      <c r="W71" s="1" t="s">
        <v>129</v>
      </c>
      <c r="X71" s="2" t="s">
        <v>131</v>
      </c>
      <c r="Y71" s="2" t="s">
        <v>133</v>
      </c>
      <c r="Z71" s="2"/>
      <c r="AA71" s="2"/>
      <c r="AX71" s="2"/>
      <c r="AZ71" s="2"/>
      <c r="BA71" s="2"/>
      <c r="BB71" s="2"/>
      <c r="BE71" s="2"/>
    </row>
    <row r="72" spans="1:82" s="1" customFormat="1" ht="11.25" customHeight="1">
      <c r="A72" s="1" t="s">
        <v>186</v>
      </c>
      <c r="B72" s="2" t="s">
        <v>184</v>
      </c>
      <c r="C72" s="2" t="s">
        <v>7</v>
      </c>
      <c r="D72" s="1" t="s">
        <v>8</v>
      </c>
      <c r="E72" s="2" t="s">
        <v>9</v>
      </c>
      <c r="F72" s="1" t="s">
        <v>125</v>
      </c>
      <c r="G72" s="2" t="s">
        <v>126</v>
      </c>
      <c r="H72" s="2" t="s">
        <v>127</v>
      </c>
      <c r="I72" s="1" t="s">
        <v>130</v>
      </c>
      <c r="J72" s="2" t="s">
        <v>132</v>
      </c>
      <c r="K72" s="2" t="s">
        <v>134</v>
      </c>
      <c r="L72" s="2" t="s">
        <v>135</v>
      </c>
      <c r="M72" s="2" t="s">
        <v>94</v>
      </c>
      <c r="N72" s="2"/>
      <c r="O72" s="1" t="s">
        <v>186</v>
      </c>
      <c r="P72" s="2" t="s">
        <v>184</v>
      </c>
      <c r="Q72" s="2" t="s">
        <v>7</v>
      </c>
      <c r="R72" s="1" t="s">
        <v>8</v>
      </c>
      <c r="S72" s="2" t="s">
        <v>9</v>
      </c>
      <c r="T72" s="1" t="s">
        <v>125</v>
      </c>
      <c r="U72" s="2" t="s">
        <v>126</v>
      </c>
      <c r="V72" s="2" t="s">
        <v>127</v>
      </c>
      <c r="W72" s="1" t="s">
        <v>130</v>
      </c>
      <c r="X72" s="2" t="s">
        <v>132</v>
      </c>
      <c r="Y72" s="2" t="s">
        <v>134</v>
      </c>
      <c r="Z72" s="2" t="s">
        <v>135</v>
      </c>
      <c r="AA72" s="2" t="s">
        <v>94</v>
      </c>
      <c r="AJ72" s="2"/>
      <c r="AL72" s="2"/>
      <c r="AM72" s="2"/>
      <c r="AN72" s="2"/>
      <c r="AQ72" s="2"/>
      <c r="AR72" s="2"/>
      <c r="AS72" s="2"/>
      <c r="AU72" s="2"/>
      <c r="AW72" s="2"/>
      <c r="AX72" s="2"/>
      <c r="AZ72" s="2"/>
      <c r="BA72" s="2"/>
      <c r="BB72" s="2"/>
      <c r="BC72" s="2"/>
      <c r="BZ72" s="2"/>
      <c r="CB72" s="2"/>
      <c r="CC72" s="2"/>
      <c r="CD72" s="2"/>
    </row>
    <row r="73" spans="2:83" s="1" customFormat="1" ht="11.25" customHeight="1">
      <c r="B73" s="2"/>
      <c r="C73" s="2"/>
      <c r="E73" s="2"/>
      <c r="G73" s="2"/>
      <c r="H73" s="2"/>
      <c r="J73" s="2"/>
      <c r="K73" s="2"/>
      <c r="L73" s="2"/>
      <c r="M73" s="2"/>
      <c r="N73" s="2"/>
      <c r="P73" s="2"/>
      <c r="Q73" s="2"/>
      <c r="S73" s="2"/>
      <c r="U73" s="2"/>
      <c r="V73" s="2"/>
      <c r="X73" s="2"/>
      <c r="Y73" s="2"/>
      <c r="Z73" s="2"/>
      <c r="AA73" s="2"/>
      <c r="AG73" s="2"/>
      <c r="AI73" s="2"/>
      <c r="AJ73" s="2"/>
      <c r="AL73" s="2"/>
      <c r="AM73" s="2"/>
      <c r="AN73" s="2"/>
      <c r="BL73" s="2"/>
      <c r="BN73" s="2"/>
      <c r="BO73" s="2"/>
      <c r="BP73" s="2"/>
      <c r="BS73" s="2"/>
      <c r="BT73" s="2"/>
      <c r="BU73" s="2"/>
      <c r="BW73" s="2"/>
      <c r="BY73" s="2"/>
      <c r="BZ73" s="2"/>
      <c r="CB73" s="2"/>
      <c r="CC73" s="2"/>
      <c r="CD73" s="2"/>
      <c r="CE73" s="2"/>
    </row>
    <row r="74" spans="1:69" s="1" customFormat="1" ht="11.25" customHeight="1">
      <c r="A74" s="1" t="s">
        <v>11</v>
      </c>
      <c r="O74" s="9" t="s">
        <v>54</v>
      </c>
      <c r="P74" s="1" t="s">
        <v>62</v>
      </c>
      <c r="BE74" s="2"/>
      <c r="BF74" s="2"/>
      <c r="BG74" s="2"/>
      <c r="BI74" s="2"/>
      <c r="BK74" s="2"/>
      <c r="BL74" s="2"/>
      <c r="BN74" s="2"/>
      <c r="BO74" s="2"/>
      <c r="BP74" s="2"/>
      <c r="BQ74" s="2"/>
    </row>
    <row r="75" spans="1:27" s="1" customFormat="1" ht="11.25" customHeight="1">
      <c r="A75" s="1" t="s">
        <v>18</v>
      </c>
      <c r="B75" s="1">
        <f>+C75+D75+E75+F75+G75+H75+I75+J75+K75+L75+M75</f>
        <v>111</v>
      </c>
      <c r="C75" s="1">
        <v>0</v>
      </c>
      <c r="D75" s="1">
        <v>14</v>
      </c>
      <c r="E75" s="1">
        <v>7</v>
      </c>
      <c r="F75" s="1">
        <v>30</v>
      </c>
      <c r="G75" s="1">
        <v>3</v>
      </c>
      <c r="H75" s="1">
        <v>12</v>
      </c>
      <c r="I75" s="1">
        <v>8</v>
      </c>
      <c r="J75" s="1">
        <v>6</v>
      </c>
      <c r="K75" s="1">
        <v>9</v>
      </c>
      <c r="L75" s="1">
        <v>3</v>
      </c>
      <c r="M75" s="1">
        <v>19</v>
      </c>
      <c r="O75" s="1" t="s">
        <v>18</v>
      </c>
      <c r="P75" s="1">
        <v>103</v>
      </c>
      <c r="Q75" s="1">
        <v>0</v>
      </c>
      <c r="R75" s="1">
        <v>10</v>
      </c>
      <c r="S75" s="2" t="s">
        <v>32</v>
      </c>
      <c r="T75" s="1">
        <v>21</v>
      </c>
      <c r="U75" s="1">
        <v>0</v>
      </c>
      <c r="V75" s="1">
        <v>5</v>
      </c>
      <c r="W75" s="7">
        <v>4</v>
      </c>
      <c r="X75" s="2" t="s">
        <v>32</v>
      </c>
      <c r="Y75" s="1">
        <v>29</v>
      </c>
      <c r="Z75" s="2" t="s">
        <v>32</v>
      </c>
      <c r="AA75" s="1">
        <v>28</v>
      </c>
    </row>
    <row r="76" spans="1:27" s="1" customFormat="1" ht="11.25" customHeight="1">
      <c r="A76" s="1" t="s">
        <v>20</v>
      </c>
      <c r="B76" s="1">
        <f>+C76+D76+E76+F76+G76+H76+I76+J76+K76+L76+M76</f>
        <v>2159</v>
      </c>
      <c r="C76" s="1">
        <v>0</v>
      </c>
      <c r="D76" s="1">
        <v>46</v>
      </c>
      <c r="E76" s="1">
        <v>197</v>
      </c>
      <c r="F76" s="1">
        <v>428</v>
      </c>
      <c r="G76" s="1">
        <v>47</v>
      </c>
      <c r="H76" s="1">
        <v>52</v>
      </c>
      <c r="I76" s="1">
        <v>142</v>
      </c>
      <c r="J76" s="1">
        <v>74</v>
      </c>
      <c r="K76" s="1">
        <v>184</v>
      </c>
      <c r="L76" s="1">
        <v>7</v>
      </c>
      <c r="M76" s="1">
        <v>982</v>
      </c>
      <c r="O76" s="1" t="s">
        <v>20</v>
      </c>
      <c r="P76" s="1">
        <v>683</v>
      </c>
      <c r="Q76" s="1">
        <v>0</v>
      </c>
      <c r="R76" s="1">
        <v>29</v>
      </c>
      <c r="S76" s="2" t="s">
        <v>32</v>
      </c>
      <c r="T76" s="1">
        <v>97</v>
      </c>
      <c r="U76" s="1">
        <v>0</v>
      </c>
      <c r="V76" s="1">
        <v>14</v>
      </c>
      <c r="W76" s="7">
        <v>7</v>
      </c>
      <c r="X76" s="2" t="s">
        <v>32</v>
      </c>
      <c r="Y76" s="1">
        <v>149</v>
      </c>
      <c r="Z76" s="2" t="s">
        <v>32</v>
      </c>
      <c r="AA76" s="1">
        <v>257</v>
      </c>
    </row>
    <row r="77" spans="1:27" s="1" customFormat="1" ht="11.25" customHeight="1">
      <c r="A77" s="1" t="s">
        <v>21</v>
      </c>
      <c r="B77" s="1">
        <f>+C77+D77+E77+F77+G77+H77+I77+J77+K77+L77+M77</f>
        <v>33483521</v>
      </c>
      <c r="C77" s="1">
        <v>0</v>
      </c>
      <c r="D77" s="1">
        <v>742684</v>
      </c>
      <c r="E77" s="1">
        <v>3952522</v>
      </c>
      <c r="F77" s="1">
        <v>6824092</v>
      </c>
      <c r="G77" s="1">
        <v>546647</v>
      </c>
      <c r="H77" s="1">
        <v>1203091</v>
      </c>
      <c r="I77" s="1">
        <v>807144</v>
      </c>
      <c r="J77" s="1">
        <v>854622</v>
      </c>
      <c r="K77" s="1">
        <v>1078164</v>
      </c>
      <c r="L77" s="1">
        <v>106303</v>
      </c>
      <c r="M77" s="1">
        <v>17368252</v>
      </c>
      <c r="O77" s="1" t="s">
        <v>21</v>
      </c>
      <c r="P77" s="1">
        <v>12620348</v>
      </c>
      <c r="Q77" s="1">
        <v>0</v>
      </c>
      <c r="R77" s="1">
        <v>522676</v>
      </c>
      <c r="S77" s="2" t="s">
        <v>32</v>
      </c>
      <c r="T77" s="1">
        <v>1235146</v>
      </c>
      <c r="U77" s="1">
        <v>0</v>
      </c>
      <c r="V77" s="1">
        <v>282542</v>
      </c>
      <c r="W77" s="7">
        <v>80758</v>
      </c>
      <c r="X77" s="2" t="s">
        <v>32</v>
      </c>
      <c r="Y77" s="1">
        <v>1024842</v>
      </c>
      <c r="Z77" s="2" t="s">
        <v>32</v>
      </c>
      <c r="AA77" s="1">
        <v>6671177</v>
      </c>
    </row>
    <row r="78" spans="1:27" s="1" customFormat="1" ht="11.25" customHeight="1">
      <c r="A78" s="1" t="s">
        <v>23</v>
      </c>
      <c r="B78" s="1">
        <f>(B77/B76)/12</f>
        <v>1292.4008414389377</v>
      </c>
      <c r="C78" s="1">
        <v>0</v>
      </c>
      <c r="D78" s="1">
        <f aca="true" t="shared" si="10" ref="D78:M78">(D77/D76)/12</f>
        <v>1345.4420289855072</v>
      </c>
      <c r="E78" s="1">
        <f t="shared" si="10"/>
        <v>1671.9636209813873</v>
      </c>
      <c r="F78" s="1">
        <f t="shared" si="10"/>
        <v>1328.6783489096572</v>
      </c>
      <c r="G78" s="1">
        <f t="shared" si="10"/>
        <v>969.232269503546</v>
      </c>
      <c r="H78" s="1">
        <f t="shared" si="10"/>
        <v>1928.0304487179485</v>
      </c>
      <c r="I78" s="1">
        <f t="shared" si="10"/>
        <v>473.6760563380282</v>
      </c>
      <c r="J78" s="1">
        <f t="shared" si="10"/>
        <v>962.4121621621622</v>
      </c>
      <c r="K78" s="1">
        <f t="shared" si="10"/>
        <v>488.29891304347825</v>
      </c>
      <c r="L78" s="1">
        <f t="shared" si="10"/>
        <v>1265.5119047619048</v>
      </c>
      <c r="M78" s="1">
        <f t="shared" si="10"/>
        <v>1473.8842498302783</v>
      </c>
      <c r="O78" s="1" t="s">
        <v>23</v>
      </c>
      <c r="P78" s="1">
        <f>P77/(P76*12)</f>
        <v>1539.8179599804782</v>
      </c>
      <c r="Q78" s="1">
        <v>0</v>
      </c>
      <c r="R78" s="1">
        <f aca="true" t="shared" si="11" ref="R78:AA78">R77/(R76*12)</f>
        <v>1501.942528735632</v>
      </c>
      <c r="S78" s="2" t="s">
        <v>32</v>
      </c>
      <c r="T78" s="1">
        <f t="shared" si="11"/>
        <v>1061.1219931271478</v>
      </c>
      <c r="U78" s="1">
        <v>0</v>
      </c>
      <c r="V78" s="1">
        <f t="shared" si="11"/>
        <v>1681.797619047619</v>
      </c>
      <c r="W78" s="1">
        <f t="shared" si="11"/>
        <v>961.4047619047619</v>
      </c>
      <c r="X78" s="2" t="s">
        <v>32</v>
      </c>
      <c r="Y78" s="1">
        <f t="shared" si="11"/>
        <v>573.1778523489933</v>
      </c>
      <c r="Z78" s="2" t="s">
        <v>32</v>
      </c>
      <c r="AA78" s="1">
        <f t="shared" si="11"/>
        <v>2163.157263294423</v>
      </c>
    </row>
    <row r="79" s="1" customFormat="1" ht="11.25" customHeight="1"/>
    <row r="80" spans="1:15" s="1" customFormat="1" ht="11.25" customHeight="1">
      <c r="A80" s="9" t="s">
        <v>12</v>
      </c>
      <c r="O80" s="1" t="s">
        <v>60</v>
      </c>
    </row>
    <row r="81" spans="1:104" s="1" customFormat="1" ht="11.25" customHeight="1">
      <c r="A81" s="1" t="s">
        <v>18</v>
      </c>
      <c r="B81" s="1">
        <v>31</v>
      </c>
      <c r="C81" s="2" t="s">
        <v>32</v>
      </c>
      <c r="D81" s="2" t="s">
        <v>32</v>
      </c>
      <c r="E81" s="2" t="s">
        <v>32</v>
      </c>
      <c r="F81" s="3">
        <v>4</v>
      </c>
      <c r="G81" s="2" t="s">
        <v>32</v>
      </c>
      <c r="H81" s="2" t="s">
        <v>32</v>
      </c>
      <c r="I81" s="2" t="s">
        <v>32</v>
      </c>
      <c r="J81" s="2" t="s">
        <v>32</v>
      </c>
      <c r="K81" s="1">
        <v>8</v>
      </c>
      <c r="L81" s="1">
        <v>0</v>
      </c>
      <c r="M81" s="1">
        <v>10</v>
      </c>
      <c r="O81" s="1" t="s">
        <v>18</v>
      </c>
      <c r="P81" s="1">
        <f>+Q81+R81+S81+T81+U81+V81+W81+X81+Y81+Z81+AA81</f>
        <v>1225</v>
      </c>
      <c r="Q81" s="3">
        <v>0</v>
      </c>
      <c r="R81" s="1">
        <v>199</v>
      </c>
      <c r="S81" s="1">
        <v>22</v>
      </c>
      <c r="T81" s="1">
        <v>259</v>
      </c>
      <c r="U81" s="1">
        <v>33</v>
      </c>
      <c r="V81" s="1">
        <v>171</v>
      </c>
      <c r="W81" s="1">
        <v>232</v>
      </c>
      <c r="X81" s="1">
        <v>70</v>
      </c>
      <c r="Y81" s="1">
        <v>154</v>
      </c>
      <c r="Z81" s="1">
        <v>40</v>
      </c>
      <c r="AA81" s="1">
        <v>45</v>
      </c>
      <c r="CZ81" s="1" t="s">
        <v>100</v>
      </c>
    </row>
    <row r="82" spans="1:27" s="1" customFormat="1" ht="11.25" customHeight="1">
      <c r="A82" s="1" t="s">
        <v>20</v>
      </c>
      <c r="B82" s="1">
        <v>386</v>
      </c>
      <c r="C82" s="2" t="s">
        <v>32</v>
      </c>
      <c r="D82" s="2" t="s">
        <v>32</v>
      </c>
      <c r="E82" s="2" t="s">
        <v>32</v>
      </c>
      <c r="F82" s="3">
        <v>28</v>
      </c>
      <c r="G82" s="2" t="s">
        <v>32</v>
      </c>
      <c r="H82" s="2" t="s">
        <v>32</v>
      </c>
      <c r="I82" s="2" t="s">
        <v>32</v>
      </c>
      <c r="J82" s="2" t="s">
        <v>32</v>
      </c>
      <c r="K82" s="1">
        <v>38</v>
      </c>
      <c r="L82" s="1">
        <v>0</v>
      </c>
      <c r="M82" s="1">
        <v>116</v>
      </c>
      <c r="O82" s="1" t="s">
        <v>20</v>
      </c>
      <c r="P82" s="1">
        <f>+Q82+R82+S82+T82+U82+V82+W82+X82+Y82+Z82+AA82</f>
        <v>13472</v>
      </c>
      <c r="Q82" s="3">
        <v>0</v>
      </c>
      <c r="R82" s="1">
        <v>901</v>
      </c>
      <c r="S82" s="1">
        <v>414</v>
      </c>
      <c r="T82" s="1">
        <v>2260</v>
      </c>
      <c r="U82" s="1">
        <v>150</v>
      </c>
      <c r="V82" s="1">
        <v>1286</v>
      </c>
      <c r="W82" s="1">
        <v>878</v>
      </c>
      <c r="X82" s="1">
        <v>475</v>
      </c>
      <c r="Y82" s="1">
        <v>5428</v>
      </c>
      <c r="Z82" s="1">
        <v>322</v>
      </c>
      <c r="AA82" s="1">
        <v>1358</v>
      </c>
    </row>
    <row r="83" spans="1:27" s="1" customFormat="1" ht="11.25" customHeight="1">
      <c r="A83" s="1" t="s">
        <v>21</v>
      </c>
      <c r="B83" s="1">
        <v>9169588</v>
      </c>
      <c r="C83" s="2" t="s">
        <v>32</v>
      </c>
      <c r="D83" s="2" t="s">
        <v>32</v>
      </c>
      <c r="E83" s="2" t="s">
        <v>32</v>
      </c>
      <c r="F83" s="3">
        <v>229459</v>
      </c>
      <c r="G83" s="2" t="s">
        <v>32</v>
      </c>
      <c r="H83" s="2" t="s">
        <v>32</v>
      </c>
      <c r="I83" s="2" t="s">
        <v>32</v>
      </c>
      <c r="J83" s="2" t="s">
        <v>32</v>
      </c>
      <c r="K83" s="1">
        <v>282792</v>
      </c>
      <c r="L83" s="1">
        <v>0</v>
      </c>
      <c r="M83" s="1">
        <v>2766163</v>
      </c>
      <c r="O83" s="1" t="s">
        <v>21</v>
      </c>
      <c r="P83" s="1">
        <f>+Q83+R83+S83+T83+U83+V83+W83+X83+Y83+Z83+AA83</f>
        <v>361883713</v>
      </c>
      <c r="Q83" s="3">
        <v>0</v>
      </c>
      <c r="R83" s="1">
        <v>32080772</v>
      </c>
      <c r="S83" s="1">
        <v>21054054</v>
      </c>
      <c r="T83" s="1">
        <v>52160557</v>
      </c>
      <c r="U83" s="1">
        <v>5650618</v>
      </c>
      <c r="V83" s="1">
        <v>43223658</v>
      </c>
      <c r="W83" s="1">
        <v>37863240</v>
      </c>
      <c r="X83" s="1">
        <v>13452712</v>
      </c>
      <c r="Y83" s="1">
        <v>109733721</v>
      </c>
      <c r="Z83" s="1">
        <v>7180355</v>
      </c>
      <c r="AA83" s="1">
        <v>39484026</v>
      </c>
    </row>
    <row r="84" spans="1:27" s="1" customFormat="1" ht="11.25" customHeight="1">
      <c r="A84" s="1" t="s">
        <v>23</v>
      </c>
      <c r="B84" s="1">
        <f>(B83/B82)/12</f>
        <v>1979.6174438687392</v>
      </c>
      <c r="C84" s="2" t="s">
        <v>32</v>
      </c>
      <c r="D84" s="2" t="s">
        <v>32</v>
      </c>
      <c r="E84" s="2" t="s">
        <v>32</v>
      </c>
      <c r="F84" s="1">
        <f>(F83/F82)/12</f>
        <v>682.9136904761905</v>
      </c>
      <c r="G84" s="2" t="s">
        <v>32</v>
      </c>
      <c r="H84" s="2" t="s">
        <v>32</v>
      </c>
      <c r="I84" s="2" t="s">
        <v>32</v>
      </c>
      <c r="J84" s="2" t="s">
        <v>32</v>
      </c>
      <c r="K84" s="1">
        <f>(K83/K82)/12</f>
        <v>620.1578947368421</v>
      </c>
      <c r="L84" s="1">
        <v>0</v>
      </c>
      <c r="M84" s="1">
        <f>(M83/M82)/12</f>
        <v>1987.1860632183907</v>
      </c>
      <c r="O84" s="1" t="s">
        <v>23</v>
      </c>
      <c r="P84" s="1">
        <f>P83/(P82*12)</f>
        <v>2238.4928802949325</v>
      </c>
      <c r="Q84" s="3">
        <v>0</v>
      </c>
      <c r="R84" s="1">
        <f>R83/(R82*12)</f>
        <v>2967.1450240473546</v>
      </c>
      <c r="S84" s="1">
        <f>(S83/S82)/12</f>
        <v>4237.933574879227</v>
      </c>
      <c r="T84" s="1">
        <f aca="true" t="shared" si="12" ref="T84:AA84">T83/(T82*12)</f>
        <v>1923.3243731563423</v>
      </c>
      <c r="U84" s="1">
        <f t="shared" si="12"/>
        <v>3139.2322222222224</v>
      </c>
      <c r="V84" s="1">
        <f t="shared" si="12"/>
        <v>2800.910964230171</v>
      </c>
      <c r="W84" s="1">
        <f t="shared" si="12"/>
        <v>3593.7015945330295</v>
      </c>
      <c r="X84" s="1">
        <f t="shared" si="12"/>
        <v>2360.1249122807017</v>
      </c>
      <c r="Y84" s="1">
        <f t="shared" si="12"/>
        <v>1684.6862103905673</v>
      </c>
      <c r="Z84" s="1">
        <f t="shared" si="12"/>
        <v>1858.269927536232</v>
      </c>
      <c r="AA84" s="1">
        <f t="shared" si="12"/>
        <v>2422.9274668630337</v>
      </c>
    </row>
    <row r="85" s="1" customFormat="1" ht="11.25" customHeight="1"/>
    <row r="86" spans="1:15" s="1" customFormat="1" ht="11.25" customHeight="1">
      <c r="A86" s="9" t="s">
        <v>109</v>
      </c>
      <c r="O86" s="1" t="s">
        <v>63</v>
      </c>
    </row>
    <row r="87" spans="1:27" s="1" customFormat="1" ht="11.25" customHeight="1">
      <c r="A87" s="1" t="s">
        <v>18</v>
      </c>
      <c r="B87" s="1">
        <v>10</v>
      </c>
      <c r="C87" s="2" t="s">
        <v>32</v>
      </c>
      <c r="D87" s="3">
        <v>3</v>
      </c>
      <c r="E87" s="1">
        <v>0</v>
      </c>
      <c r="F87" s="1">
        <v>0</v>
      </c>
      <c r="G87" s="1">
        <v>0</v>
      </c>
      <c r="H87" s="2" t="s">
        <v>32</v>
      </c>
      <c r="I87" s="1">
        <v>0</v>
      </c>
      <c r="J87" s="1">
        <v>0</v>
      </c>
      <c r="K87" s="1">
        <v>0</v>
      </c>
      <c r="L87" s="1">
        <v>0</v>
      </c>
      <c r="M87" s="1">
        <v>5</v>
      </c>
      <c r="O87" s="1" t="s">
        <v>18</v>
      </c>
      <c r="P87" s="1">
        <v>79</v>
      </c>
      <c r="Q87" s="1">
        <v>0</v>
      </c>
      <c r="R87" s="1">
        <v>17</v>
      </c>
      <c r="S87" s="2" t="s">
        <v>32</v>
      </c>
      <c r="T87" s="3">
        <v>18</v>
      </c>
      <c r="U87" s="1">
        <v>0</v>
      </c>
      <c r="V87" s="1">
        <v>5</v>
      </c>
      <c r="W87" s="2" t="s">
        <v>32</v>
      </c>
      <c r="X87" s="1">
        <v>4</v>
      </c>
      <c r="Y87" s="1">
        <v>7</v>
      </c>
      <c r="Z87" s="2" t="s">
        <v>32</v>
      </c>
      <c r="AA87" s="1">
        <v>25</v>
      </c>
    </row>
    <row r="88" spans="1:27" s="1" customFormat="1" ht="11.25" customHeight="1">
      <c r="A88" s="1" t="s">
        <v>20</v>
      </c>
      <c r="B88" s="1">
        <v>94</v>
      </c>
      <c r="C88" s="2" t="s">
        <v>32</v>
      </c>
      <c r="D88" s="3">
        <v>30</v>
      </c>
      <c r="E88" s="1">
        <v>0</v>
      </c>
      <c r="F88" s="1">
        <v>0</v>
      </c>
      <c r="G88" s="1">
        <v>0</v>
      </c>
      <c r="H88" s="2" t="s">
        <v>32</v>
      </c>
      <c r="I88" s="1">
        <v>0</v>
      </c>
      <c r="J88" s="1">
        <v>0</v>
      </c>
      <c r="K88" s="1">
        <v>0</v>
      </c>
      <c r="L88" s="1">
        <v>0</v>
      </c>
      <c r="M88" s="1">
        <v>58</v>
      </c>
      <c r="O88" s="1" t="s">
        <v>20</v>
      </c>
      <c r="P88" s="1">
        <v>521</v>
      </c>
      <c r="Q88" s="1">
        <v>0</v>
      </c>
      <c r="R88" s="1">
        <v>62</v>
      </c>
      <c r="S88" s="2" t="s">
        <v>32</v>
      </c>
      <c r="T88" s="3">
        <v>138</v>
      </c>
      <c r="U88" s="1">
        <v>0</v>
      </c>
      <c r="V88" s="1">
        <v>35</v>
      </c>
      <c r="W88" s="2" t="s">
        <v>32</v>
      </c>
      <c r="X88" s="1">
        <v>47</v>
      </c>
      <c r="Y88" s="1">
        <v>51</v>
      </c>
      <c r="Z88" s="2" t="s">
        <v>32</v>
      </c>
      <c r="AA88" s="1">
        <v>175</v>
      </c>
    </row>
    <row r="89" spans="1:27" s="1" customFormat="1" ht="11.25" customHeight="1">
      <c r="A89" s="1" t="s">
        <v>21</v>
      </c>
      <c r="B89" s="1">
        <v>2761406</v>
      </c>
      <c r="C89" s="2" t="s">
        <v>32</v>
      </c>
      <c r="D89" s="3">
        <v>960102</v>
      </c>
      <c r="E89" s="1">
        <v>0</v>
      </c>
      <c r="F89" s="1">
        <v>0</v>
      </c>
      <c r="G89" s="1">
        <v>0</v>
      </c>
      <c r="H89" s="2" t="s">
        <v>32</v>
      </c>
      <c r="I89" s="1">
        <v>0</v>
      </c>
      <c r="J89" s="1">
        <v>0</v>
      </c>
      <c r="K89" s="1">
        <v>0</v>
      </c>
      <c r="L89" s="1">
        <v>0</v>
      </c>
      <c r="M89" s="1">
        <v>1567532</v>
      </c>
      <c r="O89" s="1" t="s">
        <v>21</v>
      </c>
      <c r="P89" s="1">
        <v>9475380</v>
      </c>
      <c r="Q89" s="1">
        <v>0</v>
      </c>
      <c r="R89" s="1">
        <v>1325897</v>
      </c>
      <c r="S89" s="2" t="s">
        <v>32</v>
      </c>
      <c r="T89" s="3">
        <v>1982020</v>
      </c>
      <c r="U89" s="1">
        <v>0</v>
      </c>
      <c r="V89" s="1">
        <v>393868</v>
      </c>
      <c r="W89" s="2" t="s">
        <v>32</v>
      </c>
      <c r="X89" s="1">
        <v>623137</v>
      </c>
      <c r="Y89" s="1">
        <v>331237</v>
      </c>
      <c r="Z89" s="2" t="s">
        <v>32</v>
      </c>
      <c r="AA89" s="1">
        <v>4520697</v>
      </c>
    </row>
    <row r="90" spans="1:78" s="1" customFormat="1" ht="11.25" customHeight="1">
      <c r="A90" s="1" t="s">
        <v>23</v>
      </c>
      <c r="B90" s="1">
        <f>(B89/B88)/12</f>
        <v>2448.054964539007</v>
      </c>
      <c r="C90" s="2" t="s">
        <v>32</v>
      </c>
      <c r="D90" s="1">
        <f>(D89/D88)/12</f>
        <v>2666.9500000000003</v>
      </c>
      <c r="E90" s="1">
        <v>0</v>
      </c>
      <c r="F90" s="1">
        <v>0</v>
      </c>
      <c r="G90" s="1">
        <v>0</v>
      </c>
      <c r="H90" s="2" t="s">
        <v>32</v>
      </c>
      <c r="I90" s="1">
        <v>0</v>
      </c>
      <c r="J90" s="1">
        <v>0</v>
      </c>
      <c r="K90" s="1">
        <v>0</v>
      </c>
      <c r="L90" s="1">
        <v>0</v>
      </c>
      <c r="M90" s="1">
        <f>(M89/M88)/12</f>
        <v>2252.2011494252874</v>
      </c>
      <c r="O90" s="1" t="s">
        <v>23</v>
      </c>
      <c r="P90" s="1">
        <f>P89/(P88*12)</f>
        <v>1515.5758157389635</v>
      </c>
      <c r="Q90" s="1">
        <v>0</v>
      </c>
      <c r="R90" s="1">
        <f>R89/(R88*12)</f>
        <v>1782.119623655914</v>
      </c>
      <c r="S90" s="2" t="s">
        <v>32</v>
      </c>
      <c r="T90" s="1">
        <f>T89/(T88*12)</f>
        <v>1196.8719806763286</v>
      </c>
      <c r="U90" s="1">
        <v>0</v>
      </c>
      <c r="V90" s="1">
        <f>V89/(V88*12)</f>
        <v>937.7809523809524</v>
      </c>
      <c r="W90" s="2" t="s">
        <v>32</v>
      </c>
      <c r="X90" s="1">
        <f>X89/(X88*12)</f>
        <v>1104.8528368794325</v>
      </c>
      <c r="Y90" s="1">
        <f>Y89/(Y88*12)</f>
        <v>541.2369281045752</v>
      </c>
      <c r="Z90" s="2" t="s">
        <v>32</v>
      </c>
      <c r="AA90" s="1">
        <f>AA89/(AA88*12)</f>
        <v>2152.712857142857</v>
      </c>
      <c r="BU90" s="3"/>
      <c r="BZ90" s="3"/>
    </row>
    <row r="91" spans="4:78" s="1" customFormat="1" ht="11.25" customHeight="1">
      <c r="D91" s="3"/>
      <c r="H91" s="3"/>
      <c r="I91" s="3"/>
      <c r="S91" s="3"/>
      <c r="T91" s="3"/>
      <c r="BU91" s="3"/>
      <c r="BZ91" s="3"/>
    </row>
    <row r="92" spans="1:78" s="1" customFormat="1" ht="11.25" customHeight="1">
      <c r="A92" s="1" t="s">
        <v>166</v>
      </c>
      <c r="O92" s="1" t="s">
        <v>64</v>
      </c>
      <c r="BU92" s="3"/>
      <c r="BZ92" s="3"/>
    </row>
    <row r="93" spans="1:78" s="1" customFormat="1" ht="11.25" customHeight="1">
      <c r="A93" s="1" t="s">
        <v>18</v>
      </c>
      <c r="B93" s="1">
        <v>42</v>
      </c>
      <c r="C93" s="1">
        <v>0</v>
      </c>
      <c r="D93" s="3">
        <v>13</v>
      </c>
      <c r="E93" s="2" t="s">
        <v>32</v>
      </c>
      <c r="F93" s="1">
        <v>7</v>
      </c>
      <c r="G93" s="1">
        <v>3</v>
      </c>
      <c r="H93" s="3">
        <v>3</v>
      </c>
      <c r="I93" s="2" t="s">
        <v>32</v>
      </c>
      <c r="J93" s="2" t="s">
        <v>32</v>
      </c>
      <c r="K93" s="1">
        <v>8</v>
      </c>
      <c r="L93" s="1">
        <v>0</v>
      </c>
      <c r="M93" s="1">
        <v>4</v>
      </c>
      <c r="O93" s="1" t="s">
        <v>18</v>
      </c>
      <c r="P93" s="1">
        <f>+Q93+R93+S93+T93+U93+V93+W93+X93+Y93+Z93+AA93</f>
        <v>464</v>
      </c>
      <c r="Q93" s="1">
        <v>10</v>
      </c>
      <c r="R93" s="1">
        <v>26</v>
      </c>
      <c r="S93" s="1">
        <v>12</v>
      </c>
      <c r="T93" s="1">
        <v>115</v>
      </c>
      <c r="U93" s="1">
        <v>6</v>
      </c>
      <c r="V93" s="1">
        <v>43</v>
      </c>
      <c r="W93" s="1">
        <v>42</v>
      </c>
      <c r="X93" s="1">
        <v>56</v>
      </c>
      <c r="Y93" s="1">
        <v>41</v>
      </c>
      <c r="Z93" s="1">
        <v>46</v>
      </c>
      <c r="AA93" s="1">
        <v>67</v>
      </c>
      <c r="BU93" s="3"/>
      <c r="BZ93" s="3"/>
    </row>
    <row r="94" spans="1:78" s="1" customFormat="1" ht="11.25" customHeight="1">
      <c r="A94" s="1" t="s">
        <v>20</v>
      </c>
      <c r="B94" s="1">
        <v>267</v>
      </c>
      <c r="C94" s="1">
        <v>0</v>
      </c>
      <c r="D94" s="3">
        <v>35</v>
      </c>
      <c r="E94" s="2" t="s">
        <v>32</v>
      </c>
      <c r="F94" s="1">
        <v>49</v>
      </c>
      <c r="G94" s="1">
        <v>62</v>
      </c>
      <c r="H94" s="3">
        <v>10</v>
      </c>
      <c r="I94" s="2" t="s">
        <v>32</v>
      </c>
      <c r="J94" s="2" t="s">
        <v>32</v>
      </c>
      <c r="K94" s="1">
        <v>44</v>
      </c>
      <c r="L94" s="1">
        <v>0</v>
      </c>
      <c r="M94" s="1">
        <v>54</v>
      </c>
      <c r="O94" s="1" t="s">
        <v>20</v>
      </c>
      <c r="P94" s="1">
        <f>+Q94+R94+S94+T94+U94+V94+W94+X94+Y94+Z94+AA94</f>
        <v>7232</v>
      </c>
      <c r="Q94" s="1">
        <v>509</v>
      </c>
      <c r="R94" s="1">
        <v>189</v>
      </c>
      <c r="S94" s="1">
        <v>212</v>
      </c>
      <c r="T94" s="1">
        <v>1679</v>
      </c>
      <c r="U94" s="1">
        <v>92</v>
      </c>
      <c r="V94" s="1">
        <v>218</v>
      </c>
      <c r="W94" s="1">
        <v>602</v>
      </c>
      <c r="X94" s="1">
        <v>850</v>
      </c>
      <c r="Y94" s="1">
        <v>653</v>
      </c>
      <c r="Z94" s="1">
        <v>258</v>
      </c>
      <c r="AA94" s="1">
        <v>1970</v>
      </c>
      <c r="BU94" s="3"/>
      <c r="BZ94" s="3"/>
    </row>
    <row r="95" spans="1:78" s="1" customFormat="1" ht="11.25" customHeight="1">
      <c r="A95" s="1" t="s">
        <v>21</v>
      </c>
      <c r="B95" s="1">
        <v>5225441</v>
      </c>
      <c r="C95" s="1">
        <v>0</v>
      </c>
      <c r="D95" s="3">
        <v>602945</v>
      </c>
      <c r="E95" s="2" t="s">
        <v>32</v>
      </c>
      <c r="F95" s="1">
        <v>557548</v>
      </c>
      <c r="G95" s="1">
        <v>2283063</v>
      </c>
      <c r="H95" s="3">
        <v>133655</v>
      </c>
      <c r="I95" s="2" t="s">
        <v>32</v>
      </c>
      <c r="J95" s="2" t="s">
        <v>32</v>
      </c>
      <c r="K95" s="1">
        <v>240029</v>
      </c>
      <c r="L95" s="1">
        <v>0</v>
      </c>
      <c r="M95" s="1">
        <v>1260691</v>
      </c>
      <c r="O95" s="1" t="s">
        <v>21</v>
      </c>
      <c r="P95" s="1">
        <f>+Q95+R95+S95+T95+U95+V95+W95+X95+Y95+Z95+AA95</f>
        <v>184382686</v>
      </c>
      <c r="Q95" s="1">
        <v>29409129</v>
      </c>
      <c r="R95" s="1">
        <v>7084069</v>
      </c>
      <c r="S95" s="1">
        <v>6400307</v>
      </c>
      <c r="T95" s="1">
        <v>41128121</v>
      </c>
      <c r="U95" s="1">
        <v>1960977</v>
      </c>
      <c r="V95" s="1">
        <v>4999812</v>
      </c>
      <c r="W95" s="1">
        <v>11436425</v>
      </c>
      <c r="X95" s="1">
        <v>19016220</v>
      </c>
      <c r="Y95" s="1">
        <v>5764596</v>
      </c>
      <c r="Z95" s="1">
        <v>6481693</v>
      </c>
      <c r="AA95" s="1">
        <v>50701337</v>
      </c>
      <c r="BU95" s="3"/>
      <c r="BZ95" s="3"/>
    </row>
    <row r="96" spans="1:78" s="1" customFormat="1" ht="11.25" customHeight="1">
      <c r="A96" s="1" t="s">
        <v>23</v>
      </c>
      <c r="B96" s="1">
        <f>(B95/B94)/12</f>
        <v>1630.911672908864</v>
      </c>
      <c r="C96" s="1">
        <v>0</v>
      </c>
      <c r="D96" s="1">
        <f>(D95/D94)/12</f>
        <v>1435.5833333333333</v>
      </c>
      <c r="E96" s="2" t="s">
        <v>32</v>
      </c>
      <c r="F96" s="1">
        <f>(F95/F94)/12</f>
        <v>948.2108843537416</v>
      </c>
      <c r="G96" s="1">
        <f>(G95/G94)/12</f>
        <v>3068.633064516129</v>
      </c>
      <c r="H96" s="1">
        <f>(H95/H94)/12</f>
        <v>1113.7916666666667</v>
      </c>
      <c r="I96" s="2" t="s">
        <v>32</v>
      </c>
      <c r="J96" s="2" t="s">
        <v>32</v>
      </c>
      <c r="K96" s="1">
        <f>(K95/K94)/12</f>
        <v>454.60037878787875</v>
      </c>
      <c r="L96" s="1">
        <v>0</v>
      </c>
      <c r="M96" s="1">
        <f>(M95/M94)/12</f>
        <v>1945.510802469136</v>
      </c>
      <c r="O96" s="1" t="s">
        <v>23</v>
      </c>
      <c r="P96" s="1">
        <f>P95/(P94*12)</f>
        <v>2124.616127396755</v>
      </c>
      <c r="Q96" s="1">
        <f aca="true" t="shared" si="13" ref="Q96:X96">Q95/(Q94*12)</f>
        <v>4814.854125736739</v>
      </c>
      <c r="R96" s="1">
        <f t="shared" si="13"/>
        <v>3123.48721340388</v>
      </c>
      <c r="S96" s="1">
        <f t="shared" si="13"/>
        <v>2515.8439465408806</v>
      </c>
      <c r="T96" s="1">
        <f t="shared" si="13"/>
        <v>2041.3004268413738</v>
      </c>
      <c r="U96" s="1">
        <f t="shared" si="13"/>
        <v>1776.2472826086957</v>
      </c>
      <c r="V96" s="1">
        <f t="shared" si="13"/>
        <v>1911.2431192660551</v>
      </c>
      <c r="W96" s="1">
        <f t="shared" si="13"/>
        <v>1583.1153100775193</v>
      </c>
      <c r="X96" s="1">
        <f t="shared" si="13"/>
        <v>1864.335294117647</v>
      </c>
      <c r="Y96" s="1">
        <f>Y95/(Y94*12)</f>
        <v>735.655436447167</v>
      </c>
      <c r="Z96" s="1">
        <f>Z95/(Z94*12)</f>
        <v>2093.5700904392766</v>
      </c>
      <c r="AA96" s="1">
        <f>AA95/(AA94*12)</f>
        <v>2144.7266074450085</v>
      </c>
      <c r="BU96" s="3"/>
      <c r="BZ96" s="3"/>
    </row>
    <row r="97" spans="4:78" s="1" customFormat="1" ht="11.25" customHeight="1">
      <c r="D97" s="3"/>
      <c r="H97" s="3"/>
      <c r="BU97" s="3"/>
      <c r="BZ97" s="3"/>
    </row>
    <row r="98" spans="1:78" s="1" customFormat="1" ht="11.25" customHeight="1">
      <c r="A98" s="1" t="s">
        <v>19</v>
      </c>
      <c r="O98" s="1" t="s">
        <v>65</v>
      </c>
      <c r="W98" s="3" t="s">
        <v>62</v>
      </c>
      <c r="BU98" s="3"/>
      <c r="BZ98" s="3"/>
    </row>
    <row r="99" spans="1:78" s="1" customFormat="1" ht="11.25" customHeight="1">
      <c r="A99" s="1" t="s">
        <v>18</v>
      </c>
      <c r="B99" s="1">
        <v>109</v>
      </c>
      <c r="C99" s="2" t="s">
        <v>32</v>
      </c>
      <c r="D99" s="1">
        <v>5</v>
      </c>
      <c r="E99" s="1">
        <v>5</v>
      </c>
      <c r="F99" s="1">
        <v>33</v>
      </c>
      <c r="G99" s="1">
        <v>0</v>
      </c>
      <c r="H99" s="3">
        <v>5</v>
      </c>
      <c r="I99" s="7">
        <v>4</v>
      </c>
      <c r="J99" s="2" t="s">
        <v>32</v>
      </c>
      <c r="K99" s="1">
        <v>13</v>
      </c>
      <c r="L99" s="1">
        <v>7</v>
      </c>
      <c r="M99" s="1">
        <v>33</v>
      </c>
      <c r="O99" s="1" t="s">
        <v>18</v>
      </c>
      <c r="P99" s="1">
        <v>27</v>
      </c>
      <c r="Q99" s="1">
        <v>0</v>
      </c>
      <c r="R99" s="2" t="s">
        <v>32</v>
      </c>
      <c r="S99" s="1">
        <v>0</v>
      </c>
      <c r="T99" s="2" t="s">
        <v>32</v>
      </c>
      <c r="U99" s="1">
        <v>0</v>
      </c>
      <c r="V99" s="2" t="s">
        <v>32</v>
      </c>
      <c r="W99" s="1">
        <v>0</v>
      </c>
      <c r="X99" s="2" t="s">
        <v>32</v>
      </c>
      <c r="Y99" s="2" t="s">
        <v>32</v>
      </c>
      <c r="Z99" s="2" t="s">
        <v>32</v>
      </c>
      <c r="AA99" s="1">
        <v>19</v>
      </c>
      <c r="BU99" s="3"/>
      <c r="BZ99" s="3"/>
    </row>
    <row r="100" spans="1:27" s="1" customFormat="1" ht="11.25" customHeight="1">
      <c r="A100" s="1" t="s">
        <v>20</v>
      </c>
      <c r="B100" s="1">
        <v>1201</v>
      </c>
      <c r="C100" s="2" t="s">
        <v>32</v>
      </c>
      <c r="D100" s="1">
        <v>9</v>
      </c>
      <c r="E100" s="1">
        <v>39</v>
      </c>
      <c r="F100" s="1">
        <v>252</v>
      </c>
      <c r="G100" s="1">
        <v>0</v>
      </c>
      <c r="H100" s="3">
        <v>29</v>
      </c>
      <c r="I100" s="7">
        <v>175</v>
      </c>
      <c r="J100" s="2" t="s">
        <v>32</v>
      </c>
      <c r="K100" s="1">
        <v>149</v>
      </c>
      <c r="L100" s="1">
        <v>17</v>
      </c>
      <c r="M100" s="1">
        <v>459</v>
      </c>
      <c r="O100" s="1" t="s">
        <v>20</v>
      </c>
      <c r="P100" s="1">
        <v>207</v>
      </c>
      <c r="Q100" s="1">
        <v>0</v>
      </c>
      <c r="R100" s="2" t="s">
        <v>32</v>
      </c>
      <c r="S100" s="1">
        <v>0</v>
      </c>
      <c r="T100" s="2" t="s">
        <v>32</v>
      </c>
      <c r="U100" s="1">
        <v>0</v>
      </c>
      <c r="V100" s="2" t="s">
        <v>32</v>
      </c>
      <c r="W100" s="1">
        <v>0</v>
      </c>
      <c r="X100" s="2" t="s">
        <v>32</v>
      </c>
      <c r="Y100" s="2" t="s">
        <v>32</v>
      </c>
      <c r="Z100" s="2" t="s">
        <v>32</v>
      </c>
      <c r="AA100" s="1">
        <v>142</v>
      </c>
    </row>
    <row r="101" spans="1:27" s="1" customFormat="1" ht="11.25" customHeight="1">
      <c r="A101" s="1" t="s">
        <v>21</v>
      </c>
      <c r="B101" s="1">
        <v>29345784</v>
      </c>
      <c r="C101" s="2" t="s">
        <v>32</v>
      </c>
      <c r="D101" s="1">
        <v>147389</v>
      </c>
      <c r="E101" s="1">
        <v>902192</v>
      </c>
      <c r="F101" s="1">
        <v>3930745</v>
      </c>
      <c r="G101" s="1">
        <v>0</v>
      </c>
      <c r="H101" s="3">
        <v>626299</v>
      </c>
      <c r="I101" s="7">
        <v>5700545</v>
      </c>
      <c r="J101" s="2" t="s">
        <v>32</v>
      </c>
      <c r="K101" s="1">
        <v>1255127</v>
      </c>
      <c r="L101" s="1">
        <v>419308</v>
      </c>
      <c r="M101" s="1">
        <v>14705401</v>
      </c>
      <c r="O101" s="1" t="s">
        <v>21</v>
      </c>
      <c r="P101" s="1">
        <v>4239070</v>
      </c>
      <c r="Q101" s="1">
        <v>0</v>
      </c>
      <c r="R101" s="2" t="s">
        <v>32</v>
      </c>
      <c r="S101" s="1">
        <v>0</v>
      </c>
      <c r="T101" s="2" t="s">
        <v>32</v>
      </c>
      <c r="U101" s="1">
        <v>0</v>
      </c>
      <c r="V101" s="2" t="s">
        <v>32</v>
      </c>
      <c r="W101" s="1">
        <v>0</v>
      </c>
      <c r="X101" s="2" t="s">
        <v>32</v>
      </c>
      <c r="Y101" s="2" t="s">
        <v>32</v>
      </c>
      <c r="Z101" s="2" t="s">
        <v>32</v>
      </c>
      <c r="AA101" s="1">
        <v>3364805</v>
      </c>
    </row>
    <row r="102" spans="1:27" s="1" customFormat="1" ht="11.25" customHeight="1">
      <c r="A102" s="1" t="s">
        <v>23</v>
      </c>
      <c r="B102" s="1">
        <f>(B101/B100)/12</f>
        <v>2036.2048293089092</v>
      </c>
      <c r="C102" s="2" t="s">
        <v>32</v>
      </c>
      <c r="D102" s="1">
        <f>(D101/D100)/12</f>
        <v>1364.7129629629628</v>
      </c>
      <c r="E102" s="1">
        <f>(E101/E100)/12</f>
        <v>1927.7606837606838</v>
      </c>
      <c r="F102" s="1">
        <f>(F101/F100)/12</f>
        <v>1299.8495370370372</v>
      </c>
      <c r="G102" s="1">
        <v>0</v>
      </c>
      <c r="H102" s="1">
        <f>(H101/H100)/12</f>
        <v>1799.7097701149426</v>
      </c>
      <c r="I102" s="1">
        <f>(I101/I100)/12</f>
        <v>2714.545238095238</v>
      </c>
      <c r="J102" s="2" t="s">
        <v>32</v>
      </c>
      <c r="K102" s="1">
        <f>(K101/K100)/12</f>
        <v>701.9725950782998</v>
      </c>
      <c r="L102" s="1">
        <f>(L101/L100)/12</f>
        <v>2055.4313725490197</v>
      </c>
      <c r="M102" s="1">
        <f>(M101/M100)/12</f>
        <v>2669.825889615105</v>
      </c>
      <c r="O102" s="1" t="s">
        <v>23</v>
      </c>
      <c r="P102" s="1">
        <f>P101/(P100*12)</f>
        <v>1706.549919484702</v>
      </c>
      <c r="Q102" s="1">
        <v>0</v>
      </c>
      <c r="R102" s="2" t="s">
        <v>32</v>
      </c>
      <c r="S102" s="1">
        <v>0</v>
      </c>
      <c r="T102" s="2" t="s">
        <v>32</v>
      </c>
      <c r="U102" s="1">
        <v>0</v>
      </c>
      <c r="V102" s="2" t="s">
        <v>32</v>
      </c>
      <c r="W102" s="1">
        <v>0</v>
      </c>
      <c r="X102" s="2" t="s">
        <v>32</v>
      </c>
      <c r="Y102" s="2" t="s">
        <v>32</v>
      </c>
      <c r="Z102" s="2" t="s">
        <v>32</v>
      </c>
      <c r="AA102" s="1">
        <f>AA101/(AA100*12)</f>
        <v>1974.6508215962442</v>
      </c>
    </row>
    <row r="103" s="1" customFormat="1" ht="11.25" customHeight="1"/>
    <row r="104" spans="1:15" s="1" customFormat="1" ht="11.25" customHeight="1">
      <c r="A104" s="1" t="s">
        <v>165</v>
      </c>
      <c r="O104" s="1" t="s">
        <v>66</v>
      </c>
    </row>
    <row r="105" spans="1:107" s="1" customFormat="1" ht="11.25" customHeight="1">
      <c r="A105" s="1" t="s">
        <v>18</v>
      </c>
      <c r="B105" s="1">
        <v>44</v>
      </c>
      <c r="C105" s="1">
        <v>0</v>
      </c>
      <c r="D105" s="1">
        <v>8</v>
      </c>
      <c r="E105" s="2" t="s">
        <v>32</v>
      </c>
      <c r="F105" s="1">
        <v>9</v>
      </c>
      <c r="G105" s="1">
        <v>0</v>
      </c>
      <c r="H105" s="2" t="s">
        <v>32</v>
      </c>
      <c r="I105" s="2" t="s">
        <v>32</v>
      </c>
      <c r="J105" s="2" t="s">
        <v>32</v>
      </c>
      <c r="K105" s="1">
        <v>12</v>
      </c>
      <c r="L105" s="1">
        <v>3</v>
      </c>
      <c r="M105" s="1">
        <v>4</v>
      </c>
      <c r="O105" s="1" t="s">
        <v>18</v>
      </c>
      <c r="P105" s="1">
        <v>327</v>
      </c>
      <c r="Q105" s="2" t="s">
        <v>32</v>
      </c>
      <c r="R105" s="1">
        <v>21</v>
      </c>
      <c r="S105" s="1">
        <v>11</v>
      </c>
      <c r="T105" s="1">
        <v>96</v>
      </c>
      <c r="U105" s="2" t="s">
        <v>32</v>
      </c>
      <c r="V105" s="1">
        <v>30</v>
      </c>
      <c r="W105" s="1">
        <v>34</v>
      </c>
      <c r="X105" s="1">
        <v>30</v>
      </c>
      <c r="Y105" s="1">
        <v>33</v>
      </c>
      <c r="Z105" s="1">
        <v>19</v>
      </c>
      <c r="AA105" s="1">
        <v>45</v>
      </c>
      <c r="DC105" s="1" t="s">
        <v>62</v>
      </c>
    </row>
    <row r="106" spans="1:27" s="1" customFormat="1" ht="11.25" customHeight="1">
      <c r="A106" s="1" t="s">
        <v>20</v>
      </c>
      <c r="B106" s="1">
        <v>259</v>
      </c>
      <c r="C106" s="1">
        <v>0</v>
      </c>
      <c r="D106" s="1">
        <v>30</v>
      </c>
      <c r="E106" s="2" t="s">
        <v>32</v>
      </c>
      <c r="F106" s="1">
        <v>28</v>
      </c>
      <c r="G106" s="1">
        <v>0</v>
      </c>
      <c r="H106" s="2" t="s">
        <v>32</v>
      </c>
      <c r="I106" s="2" t="s">
        <v>32</v>
      </c>
      <c r="J106" s="2" t="s">
        <v>32</v>
      </c>
      <c r="K106" s="1">
        <v>112</v>
      </c>
      <c r="L106" s="1">
        <v>37</v>
      </c>
      <c r="M106" s="1">
        <v>14</v>
      </c>
      <c r="O106" s="1" t="s">
        <v>20</v>
      </c>
      <c r="P106" s="1">
        <v>4224</v>
      </c>
      <c r="Q106" s="2" t="s">
        <v>32</v>
      </c>
      <c r="R106" s="1">
        <v>133</v>
      </c>
      <c r="S106" s="1">
        <v>83</v>
      </c>
      <c r="T106" s="1">
        <v>1066</v>
      </c>
      <c r="U106" s="2" t="s">
        <v>32</v>
      </c>
      <c r="V106" s="1">
        <v>131</v>
      </c>
      <c r="W106" s="1">
        <v>277</v>
      </c>
      <c r="X106" s="1">
        <v>524</v>
      </c>
      <c r="Y106" s="1">
        <v>572</v>
      </c>
      <c r="Z106" s="1">
        <v>62</v>
      </c>
      <c r="AA106" s="1">
        <v>1287</v>
      </c>
    </row>
    <row r="107" spans="1:27" s="1" customFormat="1" ht="11.25" customHeight="1">
      <c r="A107" s="1" t="s">
        <v>21</v>
      </c>
      <c r="B107" s="1">
        <v>3222895</v>
      </c>
      <c r="C107" s="1">
        <v>0</v>
      </c>
      <c r="D107" s="1">
        <v>700835</v>
      </c>
      <c r="E107" s="2" t="s">
        <v>32</v>
      </c>
      <c r="F107" s="1">
        <v>366952</v>
      </c>
      <c r="G107" s="1">
        <v>0</v>
      </c>
      <c r="H107" s="2" t="s">
        <v>32</v>
      </c>
      <c r="I107" s="2" t="s">
        <v>32</v>
      </c>
      <c r="J107" s="2" t="s">
        <v>32</v>
      </c>
      <c r="K107" s="1">
        <v>950112</v>
      </c>
      <c r="L107" s="1">
        <v>320006</v>
      </c>
      <c r="M107" s="1">
        <v>338628</v>
      </c>
      <c r="O107" s="1" t="s">
        <v>21</v>
      </c>
      <c r="P107" s="1">
        <v>90900815</v>
      </c>
      <c r="Q107" s="2" t="s">
        <v>32</v>
      </c>
      <c r="R107" s="1">
        <v>2516046</v>
      </c>
      <c r="S107" s="1">
        <v>1164826</v>
      </c>
      <c r="T107" s="1">
        <v>24267564</v>
      </c>
      <c r="U107" s="2" t="s">
        <v>32</v>
      </c>
      <c r="V107" s="1">
        <v>3820199</v>
      </c>
      <c r="W107" s="1">
        <v>6805161</v>
      </c>
      <c r="X107" s="1">
        <v>9938950</v>
      </c>
      <c r="Y107" s="1">
        <v>4220553</v>
      </c>
      <c r="Z107" s="1">
        <v>1259113</v>
      </c>
      <c r="AA107" s="1">
        <v>34981004</v>
      </c>
    </row>
    <row r="108" spans="1:27" s="1" customFormat="1" ht="11.25" customHeight="1">
      <c r="A108" s="1" t="s">
        <v>23</v>
      </c>
      <c r="B108" s="1">
        <f>(B107/B106)/12</f>
        <v>1036.9675032175032</v>
      </c>
      <c r="C108" s="1">
        <v>0</v>
      </c>
      <c r="D108" s="1">
        <f>(D107/D106)/12</f>
        <v>1946.763888888889</v>
      </c>
      <c r="E108" s="2" t="s">
        <v>32</v>
      </c>
      <c r="F108" s="1">
        <f>(F107/F106)/12</f>
        <v>1092.1190476190475</v>
      </c>
      <c r="G108" s="1">
        <v>0</v>
      </c>
      <c r="H108" s="2" t="s">
        <v>32</v>
      </c>
      <c r="I108" s="2" t="s">
        <v>32</v>
      </c>
      <c r="J108" s="2" t="s">
        <v>32</v>
      </c>
      <c r="K108" s="1">
        <f>(K107/K106)/12</f>
        <v>706.9285714285714</v>
      </c>
      <c r="L108" s="1">
        <f>(L107/L106)/12</f>
        <v>720.7342342342341</v>
      </c>
      <c r="M108" s="1">
        <f>(M107/M106)/12</f>
        <v>2015.642857142857</v>
      </c>
      <c r="O108" s="1" t="s">
        <v>23</v>
      </c>
      <c r="P108" s="1">
        <f>P107/(P106*12)</f>
        <v>1793.3399423926767</v>
      </c>
      <c r="Q108" s="2" t="s">
        <v>32</v>
      </c>
      <c r="R108" s="1">
        <f>R107/(R106*12)</f>
        <v>1576.46992481203</v>
      </c>
      <c r="S108" s="1">
        <f>(S107/S106)/12</f>
        <v>1169.504016064257</v>
      </c>
      <c r="T108" s="1">
        <f>T107/(T106*12)</f>
        <v>1897.0891181988743</v>
      </c>
      <c r="U108" s="2" t="s">
        <v>32</v>
      </c>
      <c r="V108" s="1">
        <f aca="true" t="shared" si="14" ref="V108:AA108">V107/(V106*12)</f>
        <v>2430.1520356234096</v>
      </c>
      <c r="W108" s="1">
        <f t="shared" si="14"/>
        <v>2047.2806859205775</v>
      </c>
      <c r="X108" s="1">
        <f t="shared" si="14"/>
        <v>1580.6218193384225</v>
      </c>
      <c r="Y108" s="1">
        <f t="shared" si="14"/>
        <v>614.88243006993</v>
      </c>
      <c r="Z108" s="1">
        <f t="shared" si="14"/>
        <v>1692.356182795699</v>
      </c>
      <c r="AA108" s="1">
        <f t="shared" si="14"/>
        <v>2265.022274022274</v>
      </c>
    </row>
    <row r="109" spans="5:8" s="1" customFormat="1" ht="11.25" customHeight="1">
      <c r="E109" s="3"/>
      <c r="H109" s="3"/>
    </row>
    <row r="110" spans="1:15" s="1" customFormat="1" ht="11.25" customHeight="1">
      <c r="A110" s="1" t="s">
        <v>22</v>
      </c>
      <c r="O110" s="1" t="s">
        <v>73</v>
      </c>
    </row>
    <row r="111" spans="1:27" s="1" customFormat="1" ht="11.25" customHeight="1">
      <c r="A111" s="1" t="s">
        <v>18</v>
      </c>
      <c r="B111" s="1">
        <v>67</v>
      </c>
      <c r="C111" s="1">
        <v>0</v>
      </c>
      <c r="D111" s="1">
        <v>15</v>
      </c>
      <c r="E111" s="1">
        <v>6</v>
      </c>
      <c r="F111" s="1">
        <v>13</v>
      </c>
      <c r="G111" s="2" t="s">
        <v>32</v>
      </c>
      <c r="H111" s="1">
        <v>5</v>
      </c>
      <c r="I111" s="1">
        <v>8</v>
      </c>
      <c r="J111" s="2" t="s">
        <v>32</v>
      </c>
      <c r="K111" s="1">
        <v>4</v>
      </c>
      <c r="L111" s="2" t="s">
        <v>32</v>
      </c>
      <c r="M111" s="1">
        <v>11</v>
      </c>
      <c r="O111" s="1" t="s">
        <v>18</v>
      </c>
      <c r="P111" s="1">
        <f>+Q111+R111+S111+T111+U111+V111+W111+X111+Y111+Z111+AA111</f>
        <v>262</v>
      </c>
      <c r="Q111" s="1">
        <v>19</v>
      </c>
      <c r="R111" s="1">
        <v>29</v>
      </c>
      <c r="S111" s="1">
        <v>7</v>
      </c>
      <c r="T111" s="1">
        <v>70</v>
      </c>
      <c r="U111" s="1">
        <v>5</v>
      </c>
      <c r="V111" s="1">
        <v>23</v>
      </c>
      <c r="W111" s="1">
        <v>14</v>
      </c>
      <c r="X111" s="1">
        <v>29</v>
      </c>
      <c r="Y111" s="1">
        <v>15</v>
      </c>
      <c r="Z111" s="1">
        <v>18</v>
      </c>
      <c r="AA111" s="1">
        <v>33</v>
      </c>
    </row>
    <row r="112" spans="1:27" s="1" customFormat="1" ht="11.25" customHeight="1">
      <c r="A112" s="1" t="s">
        <v>20</v>
      </c>
      <c r="B112" s="1">
        <v>1073</v>
      </c>
      <c r="C112" s="1">
        <v>0</v>
      </c>
      <c r="D112" s="1">
        <v>75</v>
      </c>
      <c r="E112" s="1">
        <v>299</v>
      </c>
      <c r="F112" s="1">
        <v>212</v>
      </c>
      <c r="G112" s="2" t="s">
        <v>32</v>
      </c>
      <c r="H112" s="1">
        <v>16</v>
      </c>
      <c r="I112" s="1">
        <v>199</v>
      </c>
      <c r="J112" s="2" t="s">
        <v>32</v>
      </c>
      <c r="K112" s="1">
        <v>20</v>
      </c>
      <c r="L112" s="2" t="s">
        <v>32</v>
      </c>
      <c r="M112" s="1">
        <v>238</v>
      </c>
      <c r="O112" s="1" t="s">
        <v>20</v>
      </c>
      <c r="P112" s="1">
        <f>+Q112+R112+S112+T112+U112+V112+W112+X112+Y112+Z112+AA112</f>
        <v>3124</v>
      </c>
      <c r="Q112" s="1">
        <v>230</v>
      </c>
      <c r="R112" s="1">
        <v>201</v>
      </c>
      <c r="S112" s="1">
        <v>37</v>
      </c>
      <c r="T112" s="1">
        <v>827</v>
      </c>
      <c r="U112" s="1">
        <v>165</v>
      </c>
      <c r="V112" s="1">
        <v>100</v>
      </c>
      <c r="W112" s="1">
        <v>86</v>
      </c>
      <c r="X112" s="1">
        <v>272</v>
      </c>
      <c r="Y112" s="1">
        <v>196</v>
      </c>
      <c r="Z112" s="1">
        <v>100</v>
      </c>
      <c r="AA112" s="1">
        <v>910</v>
      </c>
    </row>
    <row r="113" spans="1:27" s="1" customFormat="1" ht="11.25" customHeight="1">
      <c r="A113" s="1" t="s">
        <v>21</v>
      </c>
      <c r="B113" s="1">
        <v>34183572</v>
      </c>
      <c r="C113" s="1">
        <v>0</v>
      </c>
      <c r="D113" s="1">
        <v>1874990</v>
      </c>
      <c r="E113" s="1">
        <v>12819610</v>
      </c>
      <c r="F113" s="1">
        <v>2565284</v>
      </c>
      <c r="G113" s="2" t="s">
        <v>32</v>
      </c>
      <c r="H113" s="1">
        <v>257557</v>
      </c>
      <c r="I113" s="1">
        <v>9812740</v>
      </c>
      <c r="J113" s="2" t="s">
        <v>32</v>
      </c>
      <c r="K113" s="1">
        <v>74605</v>
      </c>
      <c r="L113" s="2" t="s">
        <v>32</v>
      </c>
      <c r="M113" s="1">
        <v>6333758</v>
      </c>
      <c r="O113" s="1" t="s">
        <v>21</v>
      </c>
      <c r="P113" s="1">
        <f>+Q113+R113+S113+T113+U113+V113+W113+X113+Y113+Z113+AA113</f>
        <v>80639090</v>
      </c>
      <c r="Q113" s="1">
        <v>11496907</v>
      </c>
      <c r="R113" s="1">
        <v>5684761</v>
      </c>
      <c r="S113" s="1">
        <v>879218</v>
      </c>
      <c r="T113" s="1">
        <v>19351164</v>
      </c>
      <c r="U113" s="1">
        <v>4293328</v>
      </c>
      <c r="V113" s="1">
        <v>2231039</v>
      </c>
      <c r="W113" s="1">
        <v>3176130</v>
      </c>
      <c r="X113" s="1">
        <v>5187492</v>
      </c>
      <c r="Y113" s="1">
        <v>1719830</v>
      </c>
      <c r="Z113" s="1">
        <v>1983568</v>
      </c>
      <c r="AA113" s="1">
        <v>24635653</v>
      </c>
    </row>
    <row r="114" spans="1:27" s="1" customFormat="1" ht="11.25" customHeight="1">
      <c r="A114" s="1" t="s">
        <v>23</v>
      </c>
      <c r="B114" s="1">
        <f>(B113/B112)/12</f>
        <v>2654.828518173346</v>
      </c>
      <c r="C114" s="1">
        <v>0</v>
      </c>
      <c r="D114" s="1">
        <f aca="true" t="shared" si="15" ref="D114:M114">(D113/D112)/12</f>
        <v>2083.322222222222</v>
      </c>
      <c r="E114" s="1">
        <f t="shared" si="15"/>
        <v>3572.9124860646602</v>
      </c>
      <c r="F114" s="1">
        <f t="shared" si="15"/>
        <v>1008.3663522012579</v>
      </c>
      <c r="G114" s="2" t="s">
        <v>32</v>
      </c>
      <c r="H114" s="1">
        <f t="shared" si="15"/>
        <v>1341.4427083333333</v>
      </c>
      <c r="I114" s="1">
        <f t="shared" si="15"/>
        <v>4109.187604690117</v>
      </c>
      <c r="J114" s="2" t="s">
        <v>32</v>
      </c>
      <c r="K114" s="1">
        <f t="shared" si="15"/>
        <v>310.8541666666667</v>
      </c>
      <c r="L114" s="2" t="s">
        <v>32</v>
      </c>
      <c r="M114" s="1">
        <f t="shared" si="15"/>
        <v>2217.702380952381</v>
      </c>
      <c r="O114" s="1" t="s">
        <v>23</v>
      </c>
      <c r="P114" s="1">
        <f>P113/(P112*12)</f>
        <v>2151.064073836961</v>
      </c>
      <c r="Q114" s="1">
        <f aca="true" t="shared" si="16" ref="Q114:AA114">Q113/(Q112*12)</f>
        <v>4165.546014492754</v>
      </c>
      <c r="R114" s="1">
        <f t="shared" si="16"/>
        <v>2356.866086235489</v>
      </c>
      <c r="S114" s="1">
        <f t="shared" si="16"/>
        <v>1980.2207207207207</v>
      </c>
      <c r="T114" s="1">
        <f t="shared" si="16"/>
        <v>1949.9359129383313</v>
      </c>
      <c r="U114" s="1">
        <f t="shared" si="16"/>
        <v>2168.3474747474747</v>
      </c>
      <c r="V114" s="1">
        <f t="shared" si="16"/>
        <v>1859.1991666666668</v>
      </c>
      <c r="W114" s="1">
        <f t="shared" si="16"/>
        <v>3077.6453488372094</v>
      </c>
      <c r="X114" s="1">
        <f t="shared" si="16"/>
        <v>1589.3051470588234</v>
      </c>
      <c r="Y114" s="1">
        <f t="shared" si="16"/>
        <v>731.2202380952381</v>
      </c>
      <c r="Z114" s="1">
        <f t="shared" si="16"/>
        <v>1652.9733333333334</v>
      </c>
      <c r="AA114" s="1">
        <f t="shared" si="16"/>
        <v>2256.0121794871793</v>
      </c>
    </row>
    <row r="115" s="1" customFormat="1" ht="11.25" customHeight="1"/>
    <row r="116" spans="1:15" s="1" customFormat="1" ht="11.25" customHeight="1">
      <c r="A116" s="9" t="s">
        <v>24</v>
      </c>
      <c r="C116" s="1" t="s">
        <v>100</v>
      </c>
      <c r="O116" s="1" t="s">
        <v>74</v>
      </c>
    </row>
    <row r="117" spans="1:27" s="1" customFormat="1" ht="11.25" customHeight="1">
      <c r="A117" s="1" t="s">
        <v>18</v>
      </c>
      <c r="B117" s="1">
        <v>37</v>
      </c>
      <c r="C117" s="1">
        <v>0</v>
      </c>
      <c r="D117" s="2" t="s">
        <v>32</v>
      </c>
      <c r="E117" s="1">
        <v>0</v>
      </c>
      <c r="F117" s="1">
        <v>11</v>
      </c>
      <c r="G117" s="1">
        <v>0</v>
      </c>
      <c r="H117" s="2" t="s">
        <v>32</v>
      </c>
      <c r="I117" s="1">
        <v>0</v>
      </c>
      <c r="J117" s="2" t="s">
        <v>32</v>
      </c>
      <c r="K117" s="1">
        <v>8</v>
      </c>
      <c r="L117" s="1">
        <v>3</v>
      </c>
      <c r="M117" s="1">
        <v>11</v>
      </c>
      <c r="O117" s="1" t="s">
        <v>18</v>
      </c>
      <c r="P117" s="1">
        <v>76</v>
      </c>
      <c r="Q117" s="2" t="s">
        <v>32</v>
      </c>
      <c r="R117" s="1">
        <v>11</v>
      </c>
      <c r="S117" s="2" t="s">
        <v>32</v>
      </c>
      <c r="T117" s="1">
        <v>30</v>
      </c>
      <c r="U117" s="7">
        <v>0</v>
      </c>
      <c r="V117" s="7">
        <v>3</v>
      </c>
      <c r="W117" s="2" t="s">
        <v>32</v>
      </c>
      <c r="X117" s="1">
        <v>3</v>
      </c>
      <c r="Y117" s="1">
        <v>12</v>
      </c>
      <c r="Z117" s="2" t="s">
        <v>32</v>
      </c>
      <c r="AA117" s="1">
        <v>10</v>
      </c>
    </row>
    <row r="118" spans="1:27" s="1" customFormat="1" ht="11.25" customHeight="1">
      <c r="A118" s="1" t="s">
        <v>20</v>
      </c>
      <c r="B118" s="1">
        <v>279</v>
      </c>
      <c r="C118" s="1">
        <v>0</v>
      </c>
      <c r="D118" s="2" t="s">
        <v>32</v>
      </c>
      <c r="E118" s="1">
        <v>0</v>
      </c>
      <c r="F118" s="1">
        <v>82</v>
      </c>
      <c r="G118" s="1">
        <v>0</v>
      </c>
      <c r="H118" s="2" t="s">
        <v>32</v>
      </c>
      <c r="I118" s="1">
        <v>0</v>
      </c>
      <c r="J118" s="2" t="s">
        <v>32</v>
      </c>
      <c r="K118" s="1">
        <v>64</v>
      </c>
      <c r="L118" s="1">
        <v>10</v>
      </c>
      <c r="M118" s="1">
        <v>109</v>
      </c>
      <c r="O118" s="1" t="s">
        <v>20</v>
      </c>
      <c r="P118" s="1">
        <v>1556</v>
      </c>
      <c r="Q118" s="2" t="s">
        <v>32</v>
      </c>
      <c r="R118" s="1">
        <v>67</v>
      </c>
      <c r="S118" s="2" t="s">
        <v>32</v>
      </c>
      <c r="T118" s="1">
        <v>680</v>
      </c>
      <c r="U118" s="7">
        <v>0</v>
      </c>
      <c r="V118" s="7">
        <v>22</v>
      </c>
      <c r="W118" s="2" t="s">
        <v>32</v>
      </c>
      <c r="X118" s="1">
        <v>19</v>
      </c>
      <c r="Y118" s="1">
        <v>196</v>
      </c>
      <c r="Z118" s="2" t="s">
        <v>32</v>
      </c>
      <c r="AA118" s="1">
        <v>141</v>
      </c>
    </row>
    <row r="119" spans="1:27" s="1" customFormat="1" ht="11.25" customHeight="1">
      <c r="A119" s="1" t="s">
        <v>21</v>
      </c>
      <c r="B119" s="1">
        <v>5891568</v>
      </c>
      <c r="C119" s="1">
        <v>0</v>
      </c>
      <c r="D119" s="2" t="s">
        <v>32</v>
      </c>
      <c r="E119" s="1">
        <v>0</v>
      </c>
      <c r="F119" s="1">
        <v>1647271</v>
      </c>
      <c r="G119" s="1">
        <v>0</v>
      </c>
      <c r="H119" s="2" t="s">
        <v>32</v>
      </c>
      <c r="I119" s="1">
        <v>0</v>
      </c>
      <c r="J119" s="2" t="s">
        <v>32</v>
      </c>
      <c r="K119" s="1">
        <v>563612</v>
      </c>
      <c r="L119" s="1">
        <v>252491</v>
      </c>
      <c r="M119" s="1">
        <v>3137576</v>
      </c>
      <c r="O119" s="1" t="s">
        <v>21</v>
      </c>
      <c r="P119" s="1">
        <v>42900273</v>
      </c>
      <c r="Q119" s="2" t="s">
        <v>32</v>
      </c>
      <c r="R119" s="1">
        <v>1371679</v>
      </c>
      <c r="S119" s="2" t="s">
        <v>32</v>
      </c>
      <c r="T119" s="1">
        <v>19622499</v>
      </c>
      <c r="U119" s="7">
        <v>0</v>
      </c>
      <c r="V119" s="7">
        <v>819642</v>
      </c>
      <c r="W119" s="2" t="s">
        <v>32</v>
      </c>
      <c r="X119" s="1">
        <v>335140</v>
      </c>
      <c r="Y119" s="1">
        <v>1669044</v>
      </c>
      <c r="Z119" s="2" t="s">
        <v>32</v>
      </c>
      <c r="AA119" s="1">
        <v>3550111</v>
      </c>
    </row>
    <row r="120" spans="1:27" s="1" customFormat="1" ht="11.25" customHeight="1">
      <c r="A120" s="1" t="s">
        <v>23</v>
      </c>
      <c r="B120" s="1">
        <f>(B119/B118)/12</f>
        <v>1759.7275985663082</v>
      </c>
      <c r="C120" s="1">
        <v>0</v>
      </c>
      <c r="D120" s="2" t="s">
        <v>32</v>
      </c>
      <c r="E120" s="1">
        <v>0</v>
      </c>
      <c r="F120" s="1">
        <f>(F119/F118)/12</f>
        <v>1674.055894308943</v>
      </c>
      <c r="G120" s="1">
        <v>0</v>
      </c>
      <c r="H120" s="2" t="s">
        <v>32</v>
      </c>
      <c r="I120" s="1">
        <v>0</v>
      </c>
      <c r="J120" s="2" t="s">
        <v>32</v>
      </c>
      <c r="K120" s="1">
        <f>(K119/K118)/12</f>
        <v>733.8697916666666</v>
      </c>
      <c r="L120" s="1">
        <f>(L119/L118)/12</f>
        <v>2104.0916666666667</v>
      </c>
      <c r="M120" s="1">
        <f>(M119/M118)/12</f>
        <v>2398.7584097859326</v>
      </c>
      <c r="O120" s="1" t="s">
        <v>23</v>
      </c>
      <c r="P120" s="1">
        <f>P119/(P118*12)</f>
        <v>2297.5724614395886</v>
      </c>
      <c r="Q120" s="2" t="s">
        <v>32</v>
      </c>
      <c r="R120" s="1">
        <f>R119/(R118*12)</f>
        <v>1706.068407960199</v>
      </c>
      <c r="S120" s="2" t="s">
        <v>32</v>
      </c>
      <c r="T120" s="1">
        <f>T119/(T118*12)</f>
        <v>2404.7180147058825</v>
      </c>
      <c r="U120" s="7">
        <v>0</v>
      </c>
      <c r="V120" s="7">
        <f>V119/(V118*12)</f>
        <v>3104.7045454545455</v>
      </c>
      <c r="W120" s="2" t="s">
        <v>32</v>
      </c>
      <c r="X120" s="1">
        <f>X119/(X118*12)</f>
        <v>1469.9122807017543</v>
      </c>
      <c r="Y120" s="1">
        <f>Y119/(Y118*12)</f>
        <v>709.6275510204082</v>
      </c>
      <c r="Z120" s="2" t="s">
        <v>32</v>
      </c>
      <c r="AA120" s="1">
        <f>AA119/(AA118*12)</f>
        <v>2098.174349881797</v>
      </c>
    </row>
    <row r="121" s="1" customFormat="1" ht="11.25" customHeight="1"/>
    <row r="122" spans="1:27" s="1" customFormat="1" ht="11.25" customHeight="1">
      <c r="A122" s="1" t="s">
        <v>25</v>
      </c>
      <c r="O122" s="1" t="s">
        <v>168</v>
      </c>
      <c r="Y122" s="2"/>
      <c r="Z122" s="2"/>
      <c r="AA122" s="2"/>
    </row>
    <row r="123" spans="1:27" s="1" customFormat="1" ht="11.25" customHeight="1">
      <c r="A123" s="1" t="s">
        <v>18</v>
      </c>
      <c r="B123" s="1">
        <f>+C123+D123+E123+F123+G123+H123+I123+J123+K123+L123+M123</f>
        <v>72</v>
      </c>
      <c r="C123" s="1">
        <v>0</v>
      </c>
      <c r="D123" s="1">
        <v>7</v>
      </c>
      <c r="E123" s="3">
        <v>0</v>
      </c>
      <c r="F123" s="1">
        <v>14</v>
      </c>
      <c r="G123" s="1">
        <v>3</v>
      </c>
      <c r="H123" s="1">
        <v>10</v>
      </c>
      <c r="I123" s="1">
        <v>3</v>
      </c>
      <c r="J123" s="1">
        <v>12</v>
      </c>
      <c r="K123" s="1">
        <v>6</v>
      </c>
      <c r="L123" s="1">
        <v>4</v>
      </c>
      <c r="M123" s="1">
        <v>13</v>
      </c>
      <c r="O123" s="1" t="s">
        <v>18</v>
      </c>
      <c r="P123" s="1">
        <v>122</v>
      </c>
      <c r="Q123" s="1">
        <v>0</v>
      </c>
      <c r="R123" s="1">
        <v>43</v>
      </c>
      <c r="S123" s="2" t="s">
        <v>32</v>
      </c>
      <c r="T123" s="3">
        <v>10</v>
      </c>
      <c r="U123" s="1">
        <v>0</v>
      </c>
      <c r="V123" s="3">
        <v>10</v>
      </c>
      <c r="W123" s="3">
        <v>30</v>
      </c>
      <c r="X123" s="3">
        <v>8</v>
      </c>
      <c r="Y123" s="5">
        <v>8</v>
      </c>
      <c r="Z123" s="2" t="s">
        <v>32</v>
      </c>
      <c r="AA123" s="5">
        <v>11</v>
      </c>
    </row>
    <row r="124" spans="1:27" s="1" customFormat="1" ht="11.25" customHeight="1">
      <c r="A124" s="1" t="s">
        <v>20</v>
      </c>
      <c r="B124" s="1">
        <f>+C124+D124+E124+F124+G124+H124+I124+J124+K124+L124+M124</f>
        <v>1050</v>
      </c>
      <c r="C124" s="1">
        <v>0</v>
      </c>
      <c r="D124" s="1">
        <v>45</v>
      </c>
      <c r="E124" s="3">
        <v>0</v>
      </c>
      <c r="F124" s="1">
        <v>152</v>
      </c>
      <c r="G124" s="1">
        <v>19</v>
      </c>
      <c r="H124" s="1">
        <v>37</v>
      </c>
      <c r="I124" s="1">
        <v>12</v>
      </c>
      <c r="J124" s="1">
        <v>67</v>
      </c>
      <c r="K124" s="1">
        <v>61</v>
      </c>
      <c r="L124" s="1">
        <v>18</v>
      </c>
      <c r="M124" s="1">
        <v>639</v>
      </c>
      <c r="O124" s="1" t="s">
        <v>20</v>
      </c>
      <c r="P124" s="1">
        <v>1139</v>
      </c>
      <c r="Q124" s="1">
        <v>0</v>
      </c>
      <c r="R124" s="1">
        <v>254</v>
      </c>
      <c r="S124" s="2" t="s">
        <v>32</v>
      </c>
      <c r="T124" s="3">
        <v>27</v>
      </c>
      <c r="U124" s="1">
        <v>0</v>
      </c>
      <c r="V124" s="3">
        <v>14</v>
      </c>
      <c r="W124" s="3">
        <v>128</v>
      </c>
      <c r="X124" s="3">
        <v>57</v>
      </c>
      <c r="Y124" s="5">
        <v>244</v>
      </c>
      <c r="Z124" s="2" t="s">
        <v>32</v>
      </c>
      <c r="AA124" s="5">
        <v>411</v>
      </c>
    </row>
    <row r="125" spans="1:27" s="1" customFormat="1" ht="11.25" customHeight="1">
      <c r="A125" s="1" t="s">
        <v>21</v>
      </c>
      <c r="B125" s="1">
        <f>+C125+D125+E125+F125+G125+H125+I125+J125+K125+L125+M125</f>
        <v>24302020</v>
      </c>
      <c r="C125" s="1">
        <v>0</v>
      </c>
      <c r="D125" s="1">
        <v>1044016</v>
      </c>
      <c r="E125" s="3">
        <v>0</v>
      </c>
      <c r="F125" s="1">
        <v>2259876</v>
      </c>
      <c r="G125" s="1">
        <v>489465</v>
      </c>
      <c r="H125" s="1">
        <v>817788</v>
      </c>
      <c r="I125" s="1">
        <v>206042</v>
      </c>
      <c r="J125" s="1">
        <v>1921719</v>
      </c>
      <c r="K125" s="1">
        <v>246397</v>
      </c>
      <c r="L125" s="1">
        <v>256854</v>
      </c>
      <c r="M125" s="1">
        <v>17059863</v>
      </c>
      <c r="O125" s="1" t="s">
        <v>21</v>
      </c>
      <c r="P125" s="1">
        <v>23348362</v>
      </c>
      <c r="Q125" s="1">
        <v>0</v>
      </c>
      <c r="R125" s="1">
        <v>5956505</v>
      </c>
      <c r="S125" s="2" t="s">
        <v>32</v>
      </c>
      <c r="T125" s="3">
        <v>452858</v>
      </c>
      <c r="U125" s="1">
        <v>0</v>
      </c>
      <c r="V125" s="3">
        <v>295279</v>
      </c>
      <c r="W125" s="3">
        <v>2625739</v>
      </c>
      <c r="X125" s="3">
        <v>2109200</v>
      </c>
      <c r="Y125" s="5">
        <v>4540097</v>
      </c>
      <c r="Z125" s="2" t="s">
        <v>32</v>
      </c>
      <c r="AA125" s="5">
        <v>10563444</v>
      </c>
    </row>
    <row r="126" spans="1:27" s="1" customFormat="1" ht="11.25" customHeight="1">
      <c r="A126" s="1" t="s">
        <v>23</v>
      </c>
      <c r="B126" s="1">
        <f>(B125/B124)/12</f>
        <v>1928.731746031746</v>
      </c>
      <c r="C126" s="1">
        <v>0</v>
      </c>
      <c r="D126" s="1">
        <f>(D125/D124)/12</f>
        <v>1933.362962962963</v>
      </c>
      <c r="E126" s="3">
        <v>0</v>
      </c>
      <c r="F126" s="1">
        <f aca="true" t="shared" si="17" ref="F126:M126">(F125/F124)/12</f>
        <v>1238.967105263158</v>
      </c>
      <c r="G126" s="1">
        <f t="shared" si="17"/>
        <v>2146.7763157894738</v>
      </c>
      <c r="H126" s="1">
        <f t="shared" si="17"/>
        <v>1841.864864864865</v>
      </c>
      <c r="I126" s="1">
        <f t="shared" si="17"/>
        <v>1430.8472222222224</v>
      </c>
      <c r="J126" s="1">
        <f t="shared" si="17"/>
        <v>2390.1977611940297</v>
      </c>
      <c r="K126" s="1">
        <f t="shared" si="17"/>
        <v>336.6079234972678</v>
      </c>
      <c r="L126" s="1">
        <f t="shared" si="17"/>
        <v>1189.138888888889</v>
      </c>
      <c r="M126" s="1">
        <f t="shared" si="17"/>
        <v>2224.8125978090766</v>
      </c>
      <c r="O126" s="1" t="s">
        <v>23</v>
      </c>
      <c r="P126" s="1">
        <f>P125/(P124*12)</f>
        <v>1708.2500731635937</v>
      </c>
      <c r="Q126" s="1">
        <v>0</v>
      </c>
      <c r="R126" s="1">
        <f>R125/(R124*12)</f>
        <v>1954.2339238845145</v>
      </c>
      <c r="S126" s="2" t="s">
        <v>32</v>
      </c>
      <c r="T126" s="1">
        <f>T125/(T124*12)</f>
        <v>1397.70987654321</v>
      </c>
      <c r="U126" s="1">
        <v>0</v>
      </c>
      <c r="V126" s="1">
        <f>V125/(V124*12)</f>
        <v>1757.6130952380952</v>
      </c>
      <c r="W126" s="1">
        <f>W125/(W124*12)</f>
        <v>1709.4654947916667</v>
      </c>
      <c r="X126" s="1">
        <f>X125/(X124*12)</f>
        <v>3083.625730994152</v>
      </c>
      <c r="Y126" s="5">
        <f>Y125/(Y124*12)</f>
        <v>1550.5795765027322</v>
      </c>
      <c r="Z126" s="2" t="s">
        <v>32</v>
      </c>
      <c r="AA126" s="5">
        <f>AA125/(AA124*12)</f>
        <v>2141.817518248175</v>
      </c>
    </row>
    <row r="127" s="1" customFormat="1" ht="11.25" customHeight="1"/>
    <row r="128" spans="1:26" s="1" customFormat="1" ht="11.25" customHeight="1">
      <c r="A128" s="1" t="s">
        <v>91</v>
      </c>
      <c r="O128" s="1" t="s">
        <v>91</v>
      </c>
      <c r="Y128" s="2"/>
      <c r="Z128" s="2"/>
    </row>
    <row r="129" s="1" customFormat="1" ht="11.25" customHeight="1"/>
    <row r="130" spans="36:68" s="1" customFormat="1" ht="11.25" customHeight="1">
      <c r="AJ130" s="2"/>
      <c r="AL130" s="2"/>
      <c r="AM130" s="2"/>
      <c r="AN130" s="2"/>
      <c r="AX130" s="2"/>
      <c r="AZ130" s="2"/>
      <c r="BA130" s="2"/>
      <c r="BB130" s="2"/>
      <c r="BL130" s="2"/>
      <c r="BN130" s="2"/>
      <c r="BO130" s="2"/>
      <c r="BP130" s="2"/>
    </row>
    <row r="131" spans="2:69" s="1" customFormat="1" ht="11.25" customHeight="1">
      <c r="B131" s="1" t="s">
        <v>162</v>
      </c>
      <c r="P131" s="1" t="s">
        <v>194</v>
      </c>
      <c r="AC131" s="2"/>
      <c r="AD131" s="2"/>
      <c r="AE131" s="2"/>
      <c r="AG131" s="2"/>
      <c r="AI131" s="2"/>
      <c r="AJ131" s="2"/>
      <c r="AL131" s="2"/>
      <c r="AM131" s="2"/>
      <c r="AN131" s="2"/>
      <c r="AO131" s="2"/>
      <c r="AQ131" s="2"/>
      <c r="AR131" s="2"/>
      <c r="AS131" s="2"/>
      <c r="AU131" s="2"/>
      <c r="AW131" s="2"/>
      <c r="AX131" s="2"/>
      <c r="AZ131" s="2"/>
      <c r="BA131" s="2"/>
      <c r="BB131" s="2"/>
      <c r="BC131" s="2"/>
      <c r="BE131" s="2"/>
      <c r="BF131" s="2"/>
      <c r="BG131" s="2"/>
      <c r="BI131" s="2"/>
      <c r="BK131" s="2"/>
      <c r="BL131" s="2"/>
      <c r="BN131" s="2"/>
      <c r="BO131" s="2"/>
      <c r="BP131" s="2" t="s">
        <v>135</v>
      </c>
      <c r="BQ131" s="2" t="s">
        <v>94</v>
      </c>
    </row>
    <row r="132" spans="3:17" s="1" customFormat="1" ht="11.25" customHeight="1">
      <c r="C132" s="1" t="s">
        <v>198</v>
      </c>
      <c r="Q132" s="1" t="s">
        <v>193</v>
      </c>
    </row>
    <row r="133" s="1" customFormat="1" ht="11.25" customHeight="1"/>
    <row r="134" spans="2:45" s="1" customFormat="1" ht="11.25" customHeight="1">
      <c r="B134" s="2"/>
      <c r="P134" s="2"/>
      <c r="AE134" s="3"/>
      <c r="AS134" s="3"/>
    </row>
    <row r="135" spans="2:45" s="1" customFormat="1" ht="11.25" customHeight="1">
      <c r="B135" s="2"/>
      <c r="F135" s="1" t="s">
        <v>124</v>
      </c>
      <c r="P135" s="2"/>
      <c r="T135" s="1" t="s">
        <v>124</v>
      </c>
      <c r="AE135" s="3"/>
      <c r="AS135" s="3"/>
    </row>
    <row r="136" spans="6:45" s="1" customFormat="1" ht="11.25" customHeight="1">
      <c r="F136" s="1" t="s">
        <v>187</v>
      </c>
      <c r="H136" s="2" t="s">
        <v>128</v>
      </c>
      <c r="I136" s="1" t="s">
        <v>129</v>
      </c>
      <c r="J136" s="2" t="s">
        <v>131</v>
      </c>
      <c r="K136" s="2" t="s">
        <v>133</v>
      </c>
      <c r="L136" s="2"/>
      <c r="M136" s="2"/>
      <c r="N136" s="2"/>
      <c r="T136" s="1" t="s">
        <v>187</v>
      </c>
      <c r="V136" s="2" t="s">
        <v>128</v>
      </c>
      <c r="W136" s="1" t="s">
        <v>129</v>
      </c>
      <c r="X136" s="2" t="s">
        <v>131</v>
      </c>
      <c r="Y136" s="2" t="s">
        <v>133</v>
      </c>
      <c r="Z136" s="2"/>
      <c r="AA136" s="2"/>
      <c r="AE136" s="3"/>
      <c r="AS136" s="3"/>
    </row>
    <row r="137" spans="1:45" s="1" customFormat="1" ht="11.25" customHeight="1">
      <c r="A137" s="1" t="s">
        <v>186</v>
      </c>
      <c r="B137" s="2" t="s">
        <v>184</v>
      </c>
      <c r="C137" s="2" t="s">
        <v>7</v>
      </c>
      <c r="D137" s="1" t="s">
        <v>8</v>
      </c>
      <c r="E137" s="2" t="s">
        <v>9</v>
      </c>
      <c r="F137" s="1" t="s">
        <v>125</v>
      </c>
      <c r="G137" s="2" t="s">
        <v>126</v>
      </c>
      <c r="H137" s="2" t="s">
        <v>127</v>
      </c>
      <c r="I137" s="1" t="s">
        <v>130</v>
      </c>
      <c r="J137" s="2" t="s">
        <v>132</v>
      </c>
      <c r="K137" s="2" t="s">
        <v>134</v>
      </c>
      <c r="L137" s="2" t="s">
        <v>135</v>
      </c>
      <c r="M137" s="2" t="s">
        <v>94</v>
      </c>
      <c r="N137" s="2"/>
      <c r="O137" s="1" t="s">
        <v>186</v>
      </c>
      <c r="P137" s="2" t="s">
        <v>184</v>
      </c>
      <c r="Q137" s="2" t="s">
        <v>7</v>
      </c>
      <c r="R137" s="1" t="s">
        <v>8</v>
      </c>
      <c r="S137" s="2" t="s">
        <v>9</v>
      </c>
      <c r="T137" s="1" t="s">
        <v>125</v>
      </c>
      <c r="U137" s="2" t="s">
        <v>126</v>
      </c>
      <c r="V137" s="2" t="s">
        <v>127</v>
      </c>
      <c r="W137" s="1" t="s">
        <v>130</v>
      </c>
      <c r="X137" s="2" t="s">
        <v>132</v>
      </c>
      <c r="Y137" s="2" t="s">
        <v>134</v>
      </c>
      <c r="Z137" s="2" t="s">
        <v>135</v>
      </c>
      <c r="AA137" s="2" t="s">
        <v>94</v>
      </c>
      <c r="AE137" s="3"/>
      <c r="AS137" s="3"/>
    </row>
    <row r="138" spans="2:27" s="1" customFormat="1" ht="11.25" customHeight="1">
      <c r="B138" s="2"/>
      <c r="C138" s="2"/>
      <c r="E138" s="2"/>
      <c r="G138" s="2"/>
      <c r="H138" s="2"/>
      <c r="J138" s="2"/>
      <c r="K138" s="2"/>
      <c r="L138" s="2"/>
      <c r="M138" s="2"/>
      <c r="N138" s="2"/>
      <c r="P138" s="2"/>
      <c r="Q138" s="2"/>
      <c r="S138" s="2"/>
      <c r="U138" s="2"/>
      <c r="V138" s="2"/>
      <c r="X138" s="2"/>
      <c r="Y138" s="2"/>
      <c r="Z138" s="2"/>
      <c r="AA138" s="2"/>
    </row>
    <row r="139" spans="1:15" s="1" customFormat="1" ht="11.25" customHeight="1">
      <c r="A139" s="1" t="s">
        <v>31</v>
      </c>
      <c r="O139" s="1" t="s">
        <v>75</v>
      </c>
    </row>
    <row r="140" spans="1:27" s="1" customFormat="1" ht="11.25" customHeight="1">
      <c r="A140" s="1" t="s">
        <v>18</v>
      </c>
      <c r="B140" s="1">
        <v>415</v>
      </c>
      <c r="C140" s="2" t="s">
        <v>32</v>
      </c>
      <c r="D140" s="1">
        <v>106</v>
      </c>
      <c r="E140" s="1">
        <v>21</v>
      </c>
      <c r="F140" s="1">
        <v>82</v>
      </c>
      <c r="G140" s="2" t="s">
        <v>32</v>
      </c>
      <c r="H140" s="1">
        <v>34</v>
      </c>
      <c r="I140" s="1">
        <v>43</v>
      </c>
      <c r="J140" s="1">
        <v>28</v>
      </c>
      <c r="K140" s="1">
        <v>32</v>
      </c>
      <c r="L140" s="1">
        <v>21</v>
      </c>
      <c r="M140" s="1">
        <v>44</v>
      </c>
      <c r="O140" s="1" t="s">
        <v>18</v>
      </c>
      <c r="P140" s="1">
        <v>12</v>
      </c>
      <c r="Q140" s="1">
        <v>0</v>
      </c>
      <c r="R140" s="1">
        <v>0</v>
      </c>
      <c r="S140" s="1">
        <v>3</v>
      </c>
      <c r="T140" s="3">
        <v>6</v>
      </c>
      <c r="U140" s="1">
        <v>0</v>
      </c>
      <c r="V140" s="2" t="s">
        <v>32</v>
      </c>
      <c r="W140" s="2" t="s">
        <v>32</v>
      </c>
      <c r="X140" s="3">
        <v>0</v>
      </c>
      <c r="Y140" s="3">
        <v>0</v>
      </c>
      <c r="Z140" s="3">
        <v>0</v>
      </c>
      <c r="AA140" s="1">
        <v>2</v>
      </c>
    </row>
    <row r="141" spans="1:27" s="1" customFormat="1" ht="11.25" customHeight="1">
      <c r="A141" s="1" t="s">
        <v>20</v>
      </c>
      <c r="B141" s="1">
        <v>3615</v>
      </c>
      <c r="C141" s="2" t="s">
        <v>32</v>
      </c>
      <c r="D141" s="1">
        <v>340</v>
      </c>
      <c r="E141" s="1">
        <v>219</v>
      </c>
      <c r="F141" s="1">
        <v>767</v>
      </c>
      <c r="G141" s="2" t="s">
        <v>32</v>
      </c>
      <c r="H141" s="1">
        <v>174</v>
      </c>
      <c r="I141" s="1">
        <v>225</v>
      </c>
      <c r="J141" s="1">
        <v>340</v>
      </c>
      <c r="K141" s="1">
        <v>512</v>
      </c>
      <c r="L141" s="1">
        <v>68</v>
      </c>
      <c r="M141" s="1">
        <v>890</v>
      </c>
      <c r="O141" s="1" t="s">
        <v>20</v>
      </c>
      <c r="P141" s="1">
        <v>154</v>
      </c>
      <c r="Q141" s="1">
        <v>0</v>
      </c>
      <c r="R141" s="1">
        <v>0</v>
      </c>
      <c r="S141" s="1">
        <v>130</v>
      </c>
      <c r="T141" s="3">
        <v>15</v>
      </c>
      <c r="U141" s="1">
        <v>0</v>
      </c>
      <c r="V141" s="2" t="s">
        <v>32</v>
      </c>
      <c r="W141" s="2" t="s">
        <v>32</v>
      </c>
      <c r="X141" s="3">
        <v>0</v>
      </c>
      <c r="Y141" s="3">
        <v>0</v>
      </c>
      <c r="Z141" s="3">
        <v>0</v>
      </c>
      <c r="AA141" s="1">
        <v>6</v>
      </c>
    </row>
    <row r="142" spans="1:27" s="1" customFormat="1" ht="11.25" customHeight="1">
      <c r="A142" s="1" t="s">
        <v>21</v>
      </c>
      <c r="B142" s="1">
        <v>87752545</v>
      </c>
      <c r="C142" s="2" t="s">
        <v>32</v>
      </c>
      <c r="D142" s="1">
        <v>8962213</v>
      </c>
      <c r="E142" s="1">
        <v>7318691</v>
      </c>
      <c r="F142" s="1">
        <v>16643111</v>
      </c>
      <c r="G142" s="2" t="s">
        <v>32</v>
      </c>
      <c r="H142" s="1">
        <v>4563999</v>
      </c>
      <c r="I142" s="1">
        <v>6618327</v>
      </c>
      <c r="J142" s="1">
        <v>6901656</v>
      </c>
      <c r="K142" s="1">
        <v>5378290</v>
      </c>
      <c r="L142" s="1">
        <v>1701018</v>
      </c>
      <c r="M142" s="1">
        <v>27827541</v>
      </c>
      <c r="O142" s="1" t="s">
        <v>21</v>
      </c>
      <c r="P142" s="1">
        <v>5099742</v>
      </c>
      <c r="Q142" s="1">
        <v>0</v>
      </c>
      <c r="R142" s="1">
        <v>0</v>
      </c>
      <c r="S142" s="1">
        <v>4697037</v>
      </c>
      <c r="T142" s="3">
        <v>293504</v>
      </c>
      <c r="U142" s="1">
        <v>0</v>
      </c>
      <c r="V142" s="2" t="s">
        <v>32</v>
      </c>
      <c r="W142" s="2" t="s">
        <v>32</v>
      </c>
      <c r="X142" s="3">
        <v>0</v>
      </c>
      <c r="Y142" s="3">
        <v>0</v>
      </c>
      <c r="Z142" s="3">
        <v>0</v>
      </c>
      <c r="AA142" s="1">
        <v>28414</v>
      </c>
    </row>
    <row r="143" spans="1:27" s="1" customFormat="1" ht="11.25" customHeight="1">
      <c r="A143" s="1" t="s">
        <v>23</v>
      </c>
      <c r="B143" s="1">
        <f>(B142/B141)/12</f>
        <v>2022.880244352236</v>
      </c>
      <c r="C143" s="2" t="s">
        <v>32</v>
      </c>
      <c r="D143" s="1">
        <f aca="true" t="shared" si="18" ref="D143:J143">(D142/D141)/12</f>
        <v>2196.6208333333334</v>
      </c>
      <c r="E143" s="1">
        <f t="shared" si="18"/>
        <v>2784.8900304414</v>
      </c>
      <c r="F143" s="1">
        <f t="shared" si="18"/>
        <v>1808.2476097348979</v>
      </c>
      <c r="G143" s="2" t="s">
        <v>32</v>
      </c>
      <c r="H143" s="1">
        <f t="shared" si="18"/>
        <v>2185.823275862069</v>
      </c>
      <c r="I143" s="1">
        <f t="shared" si="18"/>
        <v>2451.2322222222224</v>
      </c>
      <c r="J143" s="1">
        <f t="shared" si="18"/>
        <v>1691.5823529411764</v>
      </c>
      <c r="K143" s="1">
        <f>(K142/K141)/12</f>
        <v>875.3727213541666</v>
      </c>
      <c r="L143" s="1">
        <f>(L142/L141)/12</f>
        <v>2084.580882352941</v>
      </c>
      <c r="M143" s="1">
        <f>(M142/M141)/12</f>
        <v>2605.5750000000003</v>
      </c>
      <c r="O143" s="1" t="s">
        <v>23</v>
      </c>
      <c r="P143" s="1">
        <f>P142/(P141*12)</f>
        <v>2759.6006493506493</v>
      </c>
      <c r="Q143" s="1">
        <v>0</v>
      </c>
      <c r="R143" s="1">
        <v>0</v>
      </c>
      <c r="S143" s="1">
        <f>S142/(S141*12)</f>
        <v>3010.9211538461536</v>
      </c>
      <c r="T143" s="1">
        <f>T142/(T141*12)</f>
        <v>1630.5777777777778</v>
      </c>
      <c r="U143" s="1">
        <v>0</v>
      </c>
      <c r="V143" s="2" t="s">
        <v>32</v>
      </c>
      <c r="W143" s="2" t="s">
        <v>32</v>
      </c>
      <c r="X143" s="3">
        <v>0</v>
      </c>
      <c r="Y143" s="3">
        <v>0</v>
      </c>
      <c r="Z143" s="3">
        <v>0</v>
      </c>
      <c r="AA143" s="1">
        <f>AA142/(AA141*12)</f>
        <v>394.6388888888889</v>
      </c>
    </row>
    <row r="144" s="1" customFormat="1" ht="11.25" customHeight="1"/>
    <row r="145" spans="1:15" s="1" customFormat="1" ht="11.25" customHeight="1">
      <c r="A145" s="1" t="s">
        <v>33</v>
      </c>
      <c r="O145" s="1" t="s">
        <v>121</v>
      </c>
    </row>
    <row r="146" spans="1:61" s="1" customFormat="1" ht="11.25" customHeight="1">
      <c r="A146" s="1" t="s">
        <v>18</v>
      </c>
      <c r="B146" s="1">
        <v>81</v>
      </c>
      <c r="C146" s="2" t="s">
        <v>32</v>
      </c>
      <c r="D146" s="1">
        <v>4</v>
      </c>
      <c r="E146" s="1">
        <v>7</v>
      </c>
      <c r="F146" s="1">
        <v>22</v>
      </c>
      <c r="G146" s="1">
        <v>0</v>
      </c>
      <c r="H146" s="1">
        <v>4</v>
      </c>
      <c r="I146" s="1">
        <v>7</v>
      </c>
      <c r="J146" s="2" t="s">
        <v>32</v>
      </c>
      <c r="K146" s="1">
        <v>12</v>
      </c>
      <c r="L146" s="1">
        <v>4</v>
      </c>
      <c r="M146" s="1">
        <v>19</v>
      </c>
      <c r="O146" s="1" t="s">
        <v>18</v>
      </c>
      <c r="P146" s="1">
        <f>+Q146+R146+S146+T146+U146+V146+W146+X146+Y146+Z146+AA146</f>
        <v>1953</v>
      </c>
      <c r="Q146" s="1">
        <v>3</v>
      </c>
      <c r="R146" s="1">
        <v>257</v>
      </c>
      <c r="S146" s="1">
        <v>80</v>
      </c>
      <c r="T146" s="1">
        <v>429</v>
      </c>
      <c r="U146" s="1">
        <v>41</v>
      </c>
      <c r="V146" s="1">
        <v>242</v>
      </c>
      <c r="W146" s="1">
        <v>296</v>
      </c>
      <c r="X146" s="1">
        <v>247</v>
      </c>
      <c r="Y146" s="1">
        <v>168</v>
      </c>
      <c r="Z146" s="1">
        <f>111+1</f>
        <v>112</v>
      </c>
      <c r="AA146" s="1">
        <v>78</v>
      </c>
      <c r="AF146" s="3"/>
      <c r="AG146" s="3"/>
      <c r="AI146" s="3"/>
      <c r="BG146" s="3"/>
      <c r="BI146" s="3"/>
    </row>
    <row r="147" spans="1:61" s="1" customFormat="1" ht="11.25" customHeight="1">
      <c r="A147" s="1" t="s">
        <v>20</v>
      </c>
      <c r="B147" s="1">
        <v>549</v>
      </c>
      <c r="C147" s="2" t="s">
        <v>32</v>
      </c>
      <c r="D147" s="1">
        <v>10</v>
      </c>
      <c r="E147" s="1">
        <v>46</v>
      </c>
      <c r="F147" s="1">
        <v>213</v>
      </c>
      <c r="G147" s="1">
        <v>0</v>
      </c>
      <c r="H147" s="1">
        <v>15</v>
      </c>
      <c r="I147" s="1">
        <v>23</v>
      </c>
      <c r="J147" s="2" t="s">
        <v>32</v>
      </c>
      <c r="K147" s="1">
        <v>66</v>
      </c>
      <c r="L147" s="1">
        <v>14</v>
      </c>
      <c r="M147" s="1">
        <v>126</v>
      </c>
      <c r="O147" s="1" t="s">
        <v>20</v>
      </c>
      <c r="P147" s="1">
        <f>+Q147+R147+S147+T147+U147+V147+W147+X147+Y147+Z147+AA147</f>
        <v>24537</v>
      </c>
      <c r="Q147" s="1">
        <v>138</v>
      </c>
      <c r="R147" s="1">
        <v>1849</v>
      </c>
      <c r="S147" s="1">
        <v>1072</v>
      </c>
      <c r="T147" s="1">
        <v>6075</v>
      </c>
      <c r="U147" s="1">
        <v>496</v>
      </c>
      <c r="V147" s="1">
        <v>1281</v>
      </c>
      <c r="W147" s="1">
        <v>2265</v>
      </c>
      <c r="X147" s="1">
        <v>3476</v>
      </c>
      <c r="Y147" s="1">
        <v>3433</v>
      </c>
      <c r="Z147" s="1">
        <f>723+2</f>
        <v>725</v>
      </c>
      <c r="AA147" s="1">
        <v>3727</v>
      </c>
      <c r="AF147" s="3"/>
      <c r="AG147" s="3"/>
      <c r="AI147" s="3"/>
      <c r="BG147" s="3"/>
      <c r="BI147" s="3"/>
    </row>
    <row r="148" spans="1:61" s="1" customFormat="1" ht="11.25" customHeight="1">
      <c r="A148" s="1" t="s">
        <v>21</v>
      </c>
      <c r="B148" s="1">
        <v>17255093</v>
      </c>
      <c r="C148" s="2" t="s">
        <v>32</v>
      </c>
      <c r="D148" s="1">
        <v>156341</v>
      </c>
      <c r="E148" s="1">
        <v>1575511</v>
      </c>
      <c r="F148" s="1">
        <v>8648997</v>
      </c>
      <c r="G148" s="1">
        <v>0</v>
      </c>
      <c r="H148" s="1">
        <v>250654</v>
      </c>
      <c r="I148" s="1">
        <v>1058722</v>
      </c>
      <c r="J148" s="2" t="s">
        <v>32</v>
      </c>
      <c r="K148" s="1">
        <v>549213</v>
      </c>
      <c r="L148" s="1">
        <v>377677</v>
      </c>
      <c r="M148" s="1">
        <v>2908879</v>
      </c>
      <c r="O148" s="1" t="s">
        <v>21</v>
      </c>
      <c r="P148" s="1">
        <f>+Q148+R148+S148+T148+U148+V148+W148+X148+Y148+Z148+AA148</f>
        <v>558211215</v>
      </c>
      <c r="Q148" s="1">
        <v>3091055</v>
      </c>
      <c r="R148" s="1">
        <v>46094470</v>
      </c>
      <c r="S148" s="1">
        <v>26621193</v>
      </c>
      <c r="T148" s="1">
        <v>142647543</v>
      </c>
      <c r="U148" s="1">
        <v>13655528</v>
      </c>
      <c r="V148" s="1">
        <v>36913824</v>
      </c>
      <c r="W148" s="1">
        <v>49114305</v>
      </c>
      <c r="X148" s="1">
        <v>97332122</v>
      </c>
      <c r="Y148" s="1">
        <v>38732057</v>
      </c>
      <c r="Z148" s="1">
        <f>11924342+24689</f>
        <v>11949031</v>
      </c>
      <c r="AA148" s="1">
        <v>92060087</v>
      </c>
      <c r="AF148" s="3"/>
      <c r="AG148" s="3"/>
      <c r="AI148" s="3"/>
      <c r="BG148" s="3"/>
      <c r="BI148" s="3"/>
    </row>
    <row r="149" spans="1:61" s="1" customFormat="1" ht="11.25" customHeight="1">
      <c r="A149" s="1" t="s">
        <v>23</v>
      </c>
      <c r="B149" s="1">
        <f>(B148/B147)/12</f>
        <v>2619.170157862781</v>
      </c>
      <c r="C149" s="2" t="s">
        <v>32</v>
      </c>
      <c r="D149" s="1">
        <f aca="true" t="shared" si="19" ref="D149:I149">(D148/D147)/12</f>
        <v>1302.8416666666667</v>
      </c>
      <c r="E149" s="1">
        <f t="shared" si="19"/>
        <v>2854.1865942028985</v>
      </c>
      <c r="F149" s="1">
        <f t="shared" si="19"/>
        <v>3383.801643192488</v>
      </c>
      <c r="G149" s="1">
        <v>0</v>
      </c>
      <c r="H149" s="1">
        <f t="shared" si="19"/>
        <v>1392.5222222222221</v>
      </c>
      <c r="I149" s="1">
        <f t="shared" si="19"/>
        <v>3835.9492753623185</v>
      </c>
      <c r="J149" s="2" t="s">
        <v>32</v>
      </c>
      <c r="K149" s="1">
        <f>(K148/K147)/12</f>
        <v>693.4507575757575</v>
      </c>
      <c r="L149" s="1">
        <f>(L148/L147)/12</f>
        <v>2248.077380952381</v>
      </c>
      <c r="M149" s="1">
        <f>(M148/M147)/12</f>
        <v>1923.8617724867725</v>
      </c>
      <c r="O149" s="1" t="s">
        <v>23</v>
      </c>
      <c r="P149" s="1">
        <f>P148/(P147*12)</f>
        <v>1895.8145351917512</v>
      </c>
      <c r="Q149" s="1">
        <f aca="true" t="shared" si="20" ref="Q149:AA149">Q148/(Q147*12)</f>
        <v>1866.5791062801932</v>
      </c>
      <c r="R149" s="1">
        <f t="shared" si="20"/>
        <v>2077.450423652425</v>
      </c>
      <c r="S149" s="1">
        <f t="shared" si="20"/>
        <v>2069.433535447761</v>
      </c>
      <c r="T149" s="1">
        <f t="shared" si="20"/>
        <v>1956.7564197530864</v>
      </c>
      <c r="U149" s="1">
        <f t="shared" si="20"/>
        <v>2294.2755376344085</v>
      </c>
      <c r="V149" s="1">
        <f t="shared" si="20"/>
        <v>2401.367681498829</v>
      </c>
      <c r="W149" s="1">
        <f t="shared" si="20"/>
        <v>1807.0016556291391</v>
      </c>
      <c r="X149" s="1">
        <f t="shared" si="20"/>
        <v>2333.4321538166473</v>
      </c>
      <c r="Y149" s="1">
        <f t="shared" si="20"/>
        <v>940.1897514321779</v>
      </c>
      <c r="Z149" s="1">
        <f t="shared" si="20"/>
        <v>1373.4518390804599</v>
      </c>
      <c r="AA149" s="1">
        <f t="shared" si="20"/>
        <v>2058.4045926124677</v>
      </c>
      <c r="AF149" s="3"/>
      <c r="AG149" s="3"/>
      <c r="AI149" s="3"/>
      <c r="BG149" s="3"/>
      <c r="BI149" s="3"/>
    </row>
    <row r="150" s="1" customFormat="1" ht="11.25" customHeight="1"/>
    <row r="151" spans="1:18" s="1" customFormat="1" ht="11.25" customHeight="1">
      <c r="A151" s="1" t="s">
        <v>34</v>
      </c>
      <c r="O151" s="1" t="s">
        <v>77</v>
      </c>
      <c r="R151" s="3" t="s">
        <v>62</v>
      </c>
    </row>
    <row r="152" spans="1:66" s="1" customFormat="1" ht="11.25" customHeight="1">
      <c r="A152" s="1" t="s">
        <v>18</v>
      </c>
      <c r="B152" s="1">
        <v>58</v>
      </c>
      <c r="C152" s="1">
        <v>5</v>
      </c>
      <c r="D152" s="1">
        <v>5</v>
      </c>
      <c r="E152" s="7">
        <v>0</v>
      </c>
      <c r="F152" s="1">
        <v>22</v>
      </c>
      <c r="G152" s="1">
        <v>0</v>
      </c>
      <c r="H152" s="1">
        <v>4</v>
      </c>
      <c r="I152" s="1">
        <v>6</v>
      </c>
      <c r="J152" s="1">
        <v>0</v>
      </c>
      <c r="K152" s="7">
        <v>3</v>
      </c>
      <c r="L152" s="1">
        <v>5</v>
      </c>
      <c r="M152" s="1">
        <v>9</v>
      </c>
      <c r="O152" s="1" t="s">
        <v>18</v>
      </c>
      <c r="P152" s="1">
        <v>9</v>
      </c>
      <c r="Q152" s="1">
        <v>0</v>
      </c>
      <c r="R152" s="2" t="s">
        <v>32</v>
      </c>
      <c r="S152" s="1">
        <v>0</v>
      </c>
      <c r="T152" s="2" t="s">
        <v>32</v>
      </c>
      <c r="U152" s="1">
        <v>0</v>
      </c>
      <c r="V152" s="2" t="s">
        <v>32</v>
      </c>
      <c r="W152" s="1">
        <v>0</v>
      </c>
      <c r="X152" s="1">
        <v>0</v>
      </c>
      <c r="Y152" s="2" t="s">
        <v>32</v>
      </c>
      <c r="Z152" s="2" t="s">
        <v>32</v>
      </c>
      <c r="AA152" s="1">
        <v>3</v>
      </c>
      <c r="AG152" s="3"/>
      <c r="AS152" s="3"/>
      <c r="BJ152" s="3"/>
      <c r="BL152" s="3"/>
      <c r="BM152" s="3"/>
      <c r="BN152" s="3"/>
    </row>
    <row r="153" spans="1:66" s="1" customFormat="1" ht="11.25" customHeight="1">
      <c r="A153" s="1" t="s">
        <v>20</v>
      </c>
      <c r="B153" s="1">
        <v>1447</v>
      </c>
      <c r="C153" s="1">
        <v>619</v>
      </c>
      <c r="D153" s="1">
        <v>206</v>
      </c>
      <c r="E153" s="7">
        <v>0</v>
      </c>
      <c r="F153" s="1">
        <v>307</v>
      </c>
      <c r="G153" s="1">
        <v>0</v>
      </c>
      <c r="H153" s="1">
        <v>27</v>
      </c>
      <c r="I153" s="1">
        <v>26</v>
      </c>
      <c r="J153" s="1">
        <v>0</v>
      </c>
      <c r="K153" s="7">
        <v>33</v>
      </c>
      <c r="L153" s="1">
        <v>55</v>
      </c>
      <c r="M153" s="1">
        <v>175</v>
      </c>
      <c r="O153" s="1" t="s">
        <v>20</v>
      </c>
      <c r="P153" s="1">
        <v>100</v>
      </c>
      <c r="Q153" s="1">
        <v>0</v>
      </c>
      <c r="R153" s="2" t="s">
        <v>32</v>
      </c>
      <c r="S153" s="1">
        <v>0</v>
      </c>
      <c r="T153" s="2" t="s">
        <v>32</v>
      </c>
      <c r="U153" s="1">
        <v>0</v>
      </c>
      <c r="V153" s="2" t="s">
        <v>32</v>
      </c>
      <c r="W153" s="1">
        <v>0</v>
      </c>
      <c r="X153" s="1">
        <v>0</v>
      </c>
      <c r="Y153" s="2" t="s">
        <v>32</v>
      </c>
      <c r="Z153" s="2" t="s">
        <v>32</v>
      </c>
      <c r="AA153" s="1">
        <v>56</v>
      </c>
      <c r="AG153" s="3"/>
      <c r="AS153" s="3"/>
      <c r="BJ153" s="3"/>
      <c r="BL153" s="3"/>
      <c r="BM153" s="3"/>
      <c r="BN153" s="3"/>
    </row>
    <row r="154" spans="1:66" s="1" customFormat="1" ht="11.25" customHeight="1">
      <c r="A154" s="1" t="s">
        <v>21</v>
      </c>
      <c r="B154" s="1">
        <v>64548804</v>
      </c>
      <c r="C154" s="1">
        <v>32813366</v>
      </c>
      <c r="D154" s="1">
        <v>8024443</v>
      </c>
      <c r="E154" s="7">
        <v>0</v>
      </c>
      <c r="F154" s="1">
        <v>15682206</v>
      </c>
      <c r="G154" s="1">
        <v>0</v>
      </c>
      <c r="H154" s="1">
        <v>450106</v>
      </c>
      <c r="I154" s="1">
        <v>653631</v>
      </c>
      <c r="J154" s="1">
        <v>0</v>
      </c>
      <c r="K154" s="7">
        <v>145229</v>
      </c>
      <c r="L154" s="1">
        <v>1596352</v>
      </c>
      <c r="M154" s="1">
        <v>5183471</v>
      </c>
      <c r="O154" s="1" t="s">
        <v>21</v>
      </c>
      <c r="P154" s="1">
        <v>2553234</v>
      </c>
      <c r="Q154" s="1">
        <v>0</v>
      </c>
      <c r="R154" s="2" t="s">
        <v>32</v>
      </c>
      <c r="S154" s="1">
        <v>0</v>
      </c>
      <c r="T154" s="2" t="s">
        <v>32</v>
      </c>
      <c r="U154" s="1">
        <v>0</v>
      </c>
      <c r="V154" s="2" t="s">
        <v>32</v>
      </c>
      <c r="W154" s="1">
        <v>0</v>
      </c>
      <c r="X154" s="1">
        <v>0</v>
      </c>
      <c r="Y154" s="2" t="s">
        <v>32</v>
      </c>
      <c r="Z154" s="2" t="s">
        <v>32</v>
      </c>
      <c r="AA154" s="1">
        <v>751866</v>
      </c>
      <c r="AG154" s="3"/>
      <c r="AS154" s="3"/>
      <c r="BJ154" s="3"/>
      <c r="BL154" s="3"/>
      <c r="BM154" s="3"/>
      <c r="BN154" s="3"/>
    </row>
    <row r="155" spans="1:66" s="1" customFormat="1" ht="11.25" customHeight="1">
      <c r="A155" s="1" t="s">
        <v>23</v>
      </c>
      <c r="B155" s="1">
        <f>(B154/B153)/12</f>
        <v>3717.3925362819627</v>
      </c>
      <c r="C155" s="1">
        <f>(C154/C153)/12</f>
        <v>4417.523694130318</v>
      </c>
      <c r="D155" s="1">
        <f>(D154/D153)/12</f>
        <v>3246.133899676375</v>
      </c>
      <c r="E155" s="7">
        <v>0</v>
      </c>
      <c r="F155" s="1">
        <f>(F154/F153)/12</f>
        <v>4256.842019543974</v>
      </c>
      <c r="G155" s="1">
        <v>0</v>
      </c>
      <c r="H155" s="1">
        <f>(H154/H153)/12</f>
        <v>1389.216049382716</v>
      </c>
      <c r="I155" s="1">
        <f>(I154/I153)/12</f>
        <v>2094.971153846154</v>
      </c>
      <c r="J155" s="1">
        <v>0</v>
      </c>
      <c r="K155" s="1">
        <f>(K154/K153)/12</f>
        <v>366.739898989899</v>
      </c>
      <c r="L155" s="1">
        <f>(L154/L153)/12</f>
        <v>2418.7151515151513</v>
      </c>
      <c r="M155" s="1">
        <f>(M154/M153)/12</f>
        <v>2468.3195238095236</v>
      </c>
      <c r="O155" s="1" t="s">
        <v>23</v>
      </c>
      <c r="P155" s="1">
        <f>P154/(P153*12)</f>
        <v>2127.695</v>
      </c>
      <c r="Q155" s="1">
        <v>0</v>
      </c>
      <c r="R155" s="2" t="s">
        <v>32</v>
      </c>
      <c r="S155" s="1">
        <v>0</v>
      </c>
      <c r="T155" s="2" t="s">
        <v>32</v>
      </c>
      <c r="U155" s="1">
        <v>0</v>
      </c>
      <c r="V155" s="2" t="s">
        <v>32</v>
      </c>
      <c r="W155" s="1">
        <v>0</v>
      </c>
      <c r="X155" s="1">
        <v>0</v>
      </c>
      <c r="Y155" s="2" t="s">
        <v>32</v>
      </c>
      <c r="Z155" s="2" t="s">
        <v>32</v>
      </c>
      <c r="AA155" s="1">
        <f>AA154/(AA153*12)</f>
        <v>1118.8482142857142</v>
      </c>
      <c r="AG155" s="3"/>
      <c r="AS155" s="3"/>
      <c r="BJ155" s="3"/>
      <c r="BL155" s="3"/>
      <c r="BM155" s="3"/>
      <c r="BN155" s="3"/>
    </row>
    <row r="156" s="1" customFormat="1" ht="11.25" customHeight="1"/>
    <row r="157" spans="1:15" s="1" customFormat="1" ht="11.25" customHeight="1">
      <c r="A157" s="1" t="s">
        <v>35</v>
      </c>
      <c r="O157" s="1" t="s">
        <v>84</v>
      </c>
    </row>
    <row r="158" spans="1:48" s="1" customFormat="1" ht="11.25" customHeight="1">
      <c r="A158" s="1" t="s">
        <v>18</v>
      </c>
      <c r="B158" s="1">
        <v>231</v>
      </c>
      <c r="C158" s="1">
        <v>0</v>
      </c>
      <c r="D158" s="1">
        <v>47</v>
      </c>
      <c r="E158" s="1">
        <v>16</v>
      </c>
      <c r="F158" s="1">
        <v>43</v>
      </c>
      <c r="G158" s="7">
        <v>3</v>
      </c>
      <c r="H158" s="1">
        <v>27</v>
      </c>
      <c r="I158" s="1">
        <v>19</v>
      </c>
      <c r="J158" s="1">
        <v>20</v>
      </c>
      <c r="K158" s="1">
        <v>30</v>
      </c>
      <c r="L158" s="7">
        <v>12</v>
      </c>
      <c r="M158" s="1">
        <v>15</v>
      </c>
      <c r="O158" s="1" t="s">
        <v>18</v>
      </c>
      <c r="P158" s="1">
        <f>+Q158+R158+S158+T158+U158+V158+W158+X158+Y158+Z158+AA158</f>
        <v>414</v>
      </c>
      <c r="Q158" s="1">
        <v>0</v>
      </c>
      <c r="R158" s="1">
        <v>43</v>
      </c>
      <c r="S158" s="1">
        <v>14</v>
      </c>
      <c r="T158" s="1">
        <v>68</v>
      </c>
      <c r="U158" s="1">
        <v>9</v>
      </c>
      <c r="V158" s="1">
        <v>43</v>
      </c>
      <c r="W158" s="1">
        <f>2+41</f>
        <v>43</v>
      </c>
      <c r="X158" s="1">
        <v>51</v>
      </c>
      <c r="Y158" s="1">
        <v>40</v>
      </c>
      <c r="Z158" s="1">
        <v>37</v>
      </c>
      <c r="AA158" s="1">
        <f>56+10</f>
        <v>66</v>
      </c>
      <c r="AG158" s="3"/>
      <c r="AJ158" s="3"/>
      <c r="AU158" s="3"/>
      <c r="AV158" s="3"/>
    </row>
    <row r="159" spans="1:48" s="1" customFormat="1" ht="11.25" customHeight="1">
      <c r="A159" s="1" t="s">
        <v>20</v>
      </c>
      <c r="B159" s="1">
        <v>3337</v>
      </c>
      <c r="C159" s="1">
        <v>0</v>
      </c>
      <c r="D159" s="1">
        <v>352</v>
      </c>
      <c r="E159" s="1">
        <v>396</v>
      </c>
      <c r="F159" s="1">
        <v>1343</v>
      </c>
      <c r="G159" s="7">
        <v>3</v>
      </c>
      <c r="H159" s="1">
        <v>84</v>
      </c>
      <c r="I159" s="1">
        <v>54</v>
      </c>
      <c r="J159" s="1">
        <v>369</v>
      </c>
      <c r="K159" s="1">
        <v>264</v>
      </c>
      <c r="L159" s="7">
        <v>57</v>
      </c>
      <c r="M159" s="1">
        <v>415</v>
      </c>
      <c r="O159" s="1" t="s">
        <v>20</v>
      </c>
      <c r="P159" s="1">
        <f>+Q159+R159+S159+T159+U159+V159+W159+X159+Y159+Z159+AA159</f>
        <v>7655</v>
      </c>
      <c r="Q159" s="1">
        <v>0</v>
      </c>
      <c r="R159" s="1">
        <v>230</v>
      </c>
      <c r="S159" s="1">
        <v>645</v>
      </c>
      <c r="T159" s="1">
        <v>1226</v>
      </c>
      <c r="U159" s="1">
        <v>133</v>
      </c>
      <c r="V159" s="1">
        <v>255</v>
      </c>
      <c r="W159" s="1">
        <f>2+1209</f>
        <v>1211</v>
      </c>
      <c r="X159" s="1">
        <v>662</v>
      </c>
      <c r="Y159" s="1">
        <v>757</v>
      </c>
      <c r="Z159" s="1">
        <v>220</v>
      </c>
      <c r="AA159" s="1">
        <f>967+1349</f>
        <v>2316</v>
      </c>
      <c r="AG159" s="3"/>
      <c r="AJ159" s="3"/>
      <c r="AU159" s="3"/>
      <c r="AV159" s="3"/>
    </row>
    <row r="160" spans="1:48" s="1" customFormat="1" ht="11.25" customHeight="1">
      <c r="A160" s="1" t="s">
        <v>21</v>
      </c>
      <c r="B160" s="1">
        <v>86331490</v>
      </c>
      <c r="C160" s="1">
        <v>0</v>
      </c>
      <c r="D160" s="1">
        <v>9954067</v>
      </c>
      <c r="E160" s="1">
        <v>11085943</v>
      </c>
      <c r="F160" s="1">
        <v>38983700</v>
      </c>
      <c r="G160" s="7">
        <v>41480</v>
      </c>
      <c r="H160" s="1">
        <v>1830129</v>
      </c>
      <c r="I160" s="1">
        <v>1549195</v>
      </c>
      <c r="J160" s="1">
        <v>9917218</v>
      </c>
      <c r="K160" s="1">
        <v>2218266</v>
      </c>
      <c r="L160" s="7">
        <v>774760</v>
      </c>
      <c r="M160" s="1">
        <v>9976082</v>
      </c>
      <c r="O160" s="1" t="s">
        <v>21</v>
      </c>
      <c r="P160" s="1">
        <f>+Q160+R160+S160+T160+U160+V160+W160+X160+Y160+Z160+AA160</f>
        <v>235583674</v>
      </c>
      <c r="Q160" s="1">
        <v>0</v>
      </c>
      <c r="R160" s="1">
        <v>6789661</v>
      </c>
      <c r="S160" s="1">
        <v>19188310</v>
      </c>
      <c r="T160" s="1">
        <v>23997784</v>
      </c>
      <c r="U160" s="1">
        <v>2757312</v>
      </c>
      <c r="V160" s="1">
        <v>6575496</v>
      </c>
      <c r="W160" s="1">
        <f>77342+63044171</f>
        <v>63121513</v>
      </c>
      <c r="X160" s="1">
        <v>16767120</v>
      </c>
      <c r="Y160" s="1">
        <v>6876694</v>
      </c>
      <c r="Z160" s="1">
        <v>3750251</v>
      </c>
      <c r="AA160" s="1">
        <f>47980909+37778624</f>
        <v>85759533</v>
      </c>
      <c r="AG160" s="3"/>
      <c r="AJ160" s="3"/>
      <c r="AU160" s="3"/>
      <c r="AV160" s="3"/>
    </row>
    <row r="161" spans="1:48" s="1" customFormat="1" ht="11.25" customHeight="1">
      <c r="A161" s="1" t="s">
        <v>23</v>
      </c>
      <c r="B161" s="1">
        <f>(B160/B159)/12</f>
        <v>2155.9157426830484</v>
      </c>
      <c r="C161" s="1">
        <v>0</v>
      </c>
      <c r="D161" s="1">
        <f aca="true" t="shared" si="21" ref="D161:M161">(D160/D159)/12</f>
        <v>2356.549952651515</v>
      </c>
      <c r="E161" s="1">
        <f t="shared" si="21"/>
        <v>2332.900462962963</v>
      </c>
      <c r="F161" s="1">
        <f t="shared" si="21"/>
        <v>2418.943906676595</v>
      </c>
      <c r="G161" s="1">
        <f t="shared" si="21"/>
        <v>1152.2222222222222</v>
      </c>
      <c r="H161" s="1">
        <f t="shared" si="21"/>
        <v>1815.6041666666667</v>
      </c>
      <c r="I161" s="1">
        <f t="shared" si="21"/>
        <v>2390.733024691358</v>
      </c>
      <c r="J161" s="1">
        <f t="shared" si="21"/>
        <v>2239.660794941283</v>
      </c>
      <c r="K161" s="1">
        <f t="shared" si="21"/>
        <v>700.2102272727274</v>
      </c>
      <c r="L161" s="1">
        <f t="shared" si="21"/>
        <v>1132.6900584795321</v>
      </c>
      <c r="M161" s="1">
        <f t="shared" si="21"/>
        <v>2003.2293172690763</v>
      </c>
      <c r="O161" s="1" t="s">
        <v>23</v>
      </c>
      <c r="P161" s="1">
        <f>P160/(P159*12)</f>
        <v>2564.5947528848246</v>
      </c>
      <c r="Q161" s="1">
        <v>0</v>
      </c>
      <c r="R161" s="1">
        <f aca="true" t="shared" si="22" ref="R161:AA161">R160/(R159*12)</f>
        <v>2460.0221014492754</v>
      </c>
      <c r="S161" s="1">
        <f t="shared" si="22"/>
        <v>2479.109819121447</v>
      </c>
      <c r="T161" s="1">
        <f t="shared" si="22"/>
        <v>1631.1707449700925</v>
      </c>
      <c r="U161" s="1">
        <f t="shared" si="22"/>
        <v>1727.639097744361</v>
      </c>
      <c r="V161" s="1">
        <f t="shared" si="22"/>
        <v>2148.8549019607844</v>
      </c>
      <c r="W161" s="1">
        <f t="shared" si="22"/>
        <v>4343.621868978806</v>
      </c>
      <c r="X161" s="1">
        <f t="shared" si="22"/>
        <v>2110.6646525679757</v>
      </c>
      <c r="Y161" s="1">
        <f t="shared" si="22"/>
        <v>757.0116688683399</v>
      </c>
      <c r="Z161" s="1">
        <f t="shared" si="22"/>
        <v>1420.549621212121</v>
      </c>
      <c r="AA161" s="1">
        <f t="shared" si="22"/>
        <v>3085.7632772020725</v>
      </c>
      <c r="AG161" s="3"/>
      <c r="AJ161" s="3"/>
      <c r="AU161" s="3"/>
      <c r="AV161" s="3"/>
    </row>
    <row r="162" s="1" customFormat="1" ht="11.25" customHeight="1"/>
    <row r="163" spans="1:15" s="1" customFormat="1" ht="11.25" customHeight="1">
      <c r="A163" s="1" t="s">
        <v>36</v>
      </c>
      <c r="O163" s="1" t="s">
        <v>85</v>
      </c>
    </row>
    <row r="164" spans="1:27" s="1" customFormat="1" ht="11.25" customHeight="1">
      <c r="A164" s="1" t="s">
        <v>18</v>
      </c>
      <c r="B164" s="1">
        <v>80</v>
      </c>
      <c r="C164" s="1">
        <v>0</v>
      </c>
      <c r="D164" s="1">
        <v>20</v>
      </c>
      <c r="E164" s="1">
        <v>5</v>
      </c>
      <c r="F164" s="3">
        <v>12</v>
      </c>
      <c r="G164" s="1">
        <v>4</v>
      </c>
      <c r="H164" s="1">
        <v>4</v>
      </c>
      <c r="I164" s="1">
        <v>5</v>
      </c>
      <c r="J164" s="7">
        <v>4</v>
      </c>
      <c r="K164" s="1">
        <v>10</v>
      </c>
      <c r="L164" s="7">
        <v>3</v>
      </c>
      <c r="M164" s="1">
        <v>14</v>
      </c>
      <c r="O164" s="1" t="s">
        <v>18</v>
      </c>
      <c r="P164" s="1">
        <f>+Q164+R164+S164+T164+U164+V164+W164+X164+Y164+Z164+AA164</f>
        <v>229</v>
      </c>
      <c r="Q164" s="1">
        <v>0</v>
      </c>
      <c r="R164" s="1">
        <v>37</v>
      </c>
      <c r="S164" s="1">
        <v>15</v>
      </c>
      <c r="T164" s="1">
        <v>64</v>
      </c>
      <c r="U164" s="1">
        <v>3</v>
      </c>
      <c r="V164" s="1">
        <v>20</v>
      </c>
      <c r="W164" s="1">
        <v>11</v>
      </c>
      <c r="X164" s="1">
        <v>15</v>
      </c>
      <c r="Y164" s="1">
        <v>17</v>
      </c>
      <c r="Z164" s="1">
        <v>24</v>
      </c>
      <c r="AA164" s="1">
        <v>23</v>
      </c>
    </row>
    <row r="165" spans="1:27" s="1" customFormat="1" ht="11.25" customHeight="1">
      <c r="A165" s="1" t="s">
        <v>20</v>
      </c>
      <c r="B165" s="1">
        <v>804</v>
      </c>
      <c r="C165" s="1">
        <v>0</v>
      </c>
      <c r="D165" s="1">
        <v>94</v>
      </c>
      <c r="E165" s="1">
        <v>47</v>
      </c>
      <c r="F165" s="3">
        <v>152</v>
      </c>
      <c r="G165" s="1">
        <v>57</v>
      </c>
      <c r="H165" s="1">
        <v>16</v>
      </c>
      <c r="I165" s="1">
        <v>13</v>
      </c>
      <c r="J165" s="7">
        <v>24</v>
      </c>
      <c r="K165" s="1">
        <v>10</v>
      </c>
      <c r="L165" s="7">
        <v>5</v>
      </c>
      <c r="M165" s="1">
        <v>286</v>
      </c>
      <c r="O165" s="1" t="s">
        <v>20</v>
      </c>
      <c r="P165" s="1">
        <f>+Q165+R165+S165+T165+U165+V165+W165+X165+Y165+Z165+AA165</f>
        <v>3565</v>
      </c>
      <c r="Q165" s="1">
        <v>0</v>
      </c>
      <c r="R165" s="1">
        <v>147</v>
      </c>
      <c r="S165" s="1">
        <v>1391</v>
      </c>
      <c r="T165" s="1">
        <v>822</v>
      </c>
      <c r="U165" s="1">
        <v>28</v>
      </c>
      <c r="V165" s="1">
        <v>80</v>
      </c>
      <c r="W165" s="1">
        <v>64</v>
      </c>
      <c r="X165" s="1">
        <v>189</v>
      </c>
      <c r="Y165" s="1">
        <v>305</v>
      </c>
      <c r="Z165" s="1">
        <v>96</v>
      </c>
      <c r="AA165" s="1">
        <v>443</v>
      </c>
    </row>
    <row r="166" spans="1:27" s="1" customFormat="1" ht="11.25" customHeight="1">
      <c r="A166" s="1" t="s">
        <v>21</v>
      </c>
      <c r="B166" s="1">
        <v>16493810</v>
      </c>
      <c r="C166" s="1">
        <v>0</v>
      </c>
      <c r="D166" s="1">
        <v>273950</v>
      </c>
      <c r="E166" s="1">
        <v>928583</v>
      </c>
      <c r="F166" s="3">
        <v>1864722</v>
      </c>
      <c r="G166" s="1">
        <v>2296641</v>
      </c>
      <c r="H166" s="1">
        <v>278164</v>
      </c>
      <c r="I166" s="1">
        <v>208623</v>
      </c>
      <c r="J166" s="7">
        <v>375951</v>
      </c>
      <c r="K166" s="1">
        <v>857736</v>
      </c>
      <c r="L166" s="7">
        <v>126645</v>
      </c>
      <c r="M166" s="1">
        <v>6817825</v>
      </c>
      <c r="O166" s="1" t="s">
        <v>21</v>
      </c>
      <c r="P166" s="1">
        <f>+Q166+R166+S166+T166+U166+V166+W166+X166+Y166+Z166+AA166</f>
        <v>84936870</v>
      </c>
      <c r="Q166" s="1">
        <v>0</v>
      </c>
      <c r="R166" s="1">
        <v>3264483</v>
      </c>
      <c r="S166" s="1">
        <v>42812736</v>
      </c>
      <c r="T166" s="1">
        <v>15453625</v>
      </c>
      <c r="U166" s="1">
        <v>669858</v>
      </c>
      <c r="V166" s="1">
        <v>1765507</v>
      </c>
      <c r="W166" s="1">
        <v>1824424</v>
      </c>
      <c r="X166" s="1">
        <v>3204358</v>
      </c>
      <c r="Y166" s="1">
        <v>2194968</v>
      </c>
      <c r="Z166" s="1">
        <v>1350926</v>
      </c>
      <c r="AA166" s="1">
        <v>12395985</v>
      </c>
    </row>
    <row r="167" spans="1:27" s="1" customFormat="1" ht="11.25" customHeight="1">
      <c r="A167" s="1" t="s">
        <v>23</v>
      </c>
      <c r="B167" s="1">
        <f>(B166/B165)/12</f>
        <v>1709.5574212271974</v>
      </c>
      <c r="C167" s="1">
        <v>0</v>
      </c>
      <c r="D167" s="1">
        <f aca="true" t="shared" si="23" ref="D167:L167">(D166/D165)/12</f>
        <v>242.86347517730496</v>
      </c>
      <c r="E167" s="1">
        <f t="shared" si="23"/>
        <v>1646.4237588652484</v>
      </c>
      <c r="F167" s="1">
        <f t="shared" si="23"/>
        <v>1022.3256578947368</v>
      </c>
      <c r="G167" s="1">
        <f t="shared" si="23"/>
        <v>3357.6622807017543</v>
      </c>
      <c r="H167" s="1">
        <f t="shared" si="23"/>
        <v>1448.7708333333333</v>
      </c>
      <c r="I167" s="1">
        <f t="shared" si="23"/>
        <v>1337.326923076923</v>
      </c>
      <c r="J167" s="1">
        <f t="shared" si="23"/>
        <v>1305.3854166666667</v>
      </c>
      <c r="K167" s="1">
        <f>(K166/K165)/12</f>
        <v>7147.8</v>
      </c>
      <c r="L167" s="1">
        <f t="shared" si="23"/>
        <v>2110.75</v>
      </c>
      <c r="M167" s="1">
        <f>(M166/M165)/12</f>
        <v>1986.5457459207457</v>
      </c>
      <c r="O167" s="1" t="s">
        <v>23</v>
      </c>
      <c r="P167" s="1">
        <f>P166/(P165*12)</f>
        <v>1985.4340813464235</v>
      </c>
      <c r="Q167" s="1">
        <v>0</v>
      </c>
      <c r="R167" s="1">
        <f aca="true" t="shared" si="24" ref="R167:X167">R166/(R165*12)</f>
        <v>1850.6139455782313</v>
      </c>
      <c r="S167" s="1">
        <f t="shared" si="24"/>
        <v>2564.8655643422</v>
      </c>
      <c r="T167" s="1">
        <f t="shared" si="24"/>
        <v>1566.669201135442</v>
      </c>
      <c r="U167" s="1">
        <f t="shared" si="24"/>
        <v>1993.625</v>
      </c>
      <c r="V167" s="1">
        <f t="shared" si="24"/>
        <v>1839.0697916666666</v>
      </c>
      <c r="W167" s="1">
        <f t="shared" si="24"/>
        <v>2375.5520833333335</v>
      </c>
      <c r="X167" s="1">
        <f t="shared" si="24"/>
        <v>1412.8562610229276</v>
      </c>
      <c r="Y167" s="1">
        <f>Y166/(Y165*12)</f>
        <v>599.7180327868853</v>
      </c>
      <c r="Z167" s="1">
        <f>Z166/(Z165*12)</f>
        <v>1172.6788194444443</v>
      </c>
      <c r="AA167" s="1">
        <f>AA166/(AA165*12)</f>
        <v>2331.8256207674945</v>
      </c>
    </row>
    <row r="168" s="1" customFormat="1" ht="11.25" customHeight="1"/>
    <row r="169" spans="1:15" s="1" customFormat="1" ht="11.25" customHeight="1">
      <c r="A169" s="1" t="s">
        <v>42</v>
      </c>
      <c r="O169" s="1" t="s">
        <v>86</v>
      </c>
    </row>
    <row r="170" spans="1:27" s="1" customFormat="1" ht="11.25" customHeight="1">
      <c r="A170" s="1" t="s">
        <v>18</v>
      </c>
      <c r="B170" s="1">
        <v>175</v>
      </c>
      <c r="C170" s="1">
        <v>0</v>
      </c>
      <c r="D170" s="1">
        <v>18</v>
      </c>
      <c r="E170" s="1">
        <v>5</v>
      </c>
      <c r="F170" s="1">
        <v>39</v>
      </c>
      <c r="G170" s="2" t="s">
        <v>32</v>
      </c>
      <c r="H170" s="1">
        <v>11</v>
      </c>
      <c r="I170" s="2" t="s">
        <v>32</v>
      </c>
      <c r="J170" s="1">
        <v>10</v>
      </c>
      <c r="K170" s="1">
        <v>32</v>
      </c>
      <c r="L170" s="1">
        <v>10</v>
      </c>
      <c r="M170" s="1">
        <v>36</v>
      </c>
      <c r="O170" s="1" t="s">
        <v>18</v>
      </c>
      <c r="P170" s="1">
        <f>+Q170+R170+S170+T170+U170+V170+W170+X170+Y170+Z170+AA170</f>
        <v>693</v>
      </c>
      <c r="Q170" s="1">
        <v>72</v>
      </c>
      <c r="R170" s="1">
        <v>75</v>
      </c>
      <c r="S170" s="1">
        <v>16</v>
      </c>
      <c r="T170" s="1">
        <v>177</v>
      </c>
      <c r="U170" s="1">
        <v>12</v>
      </c>
      <c r="V170" s="1">
        <v>53</v>
      </c>
      <c r="W170" s="1">
        <v>65</v>
      </c>
      <c r="X170" s="1">
        <v>55</v>
      </c>
      <c r="Y170" s="1">
        <v>54</v>
      </c>
      <c r="Z170" s="1">
        <v>45</v>
      </c>
      <c r="AA170" s="1">
        <v>69</v>
      </c>
    </row>
    <row r="171" spans="1:27" s="1" customFormat="1" ht="11.25" customHeight="1">
      <c r="A171" s="1" t="s">
        <v>20</v>
      </c>
      <c r="B171" s="1">
        <v>1873</v>
      </c>
      <c r="C171" s="1">
        <v>0</v>
      </c>
      <c r="D171" s="1">
        <v>40</v>
      </c>
      <c r="E171" s="1">
        <v>126</v>
      </c>
      <c r="F171" s="1">
        <v>303</v>
      </c>
      <c r="G171" s="2" t="s">
        <v>32</v>
      </c>
      <c r="H171" s="1">
        <v>52</v>
      </c>
      <c r="I171" s="2" t="s">
        <v>32</v>
      </c>
      <c r="J171" s="1">
        <v>37</v>
      </c>
      <c r="K171" s="1">
        <v>419</v>
      </c>
      <c r="L171" s="1">
        <v>229</v>
      </c>
      <c r="M171" s="1">
        <v>635</v>
      </c>
      <c r="O171" s="1" t="s">
        <v>20</v>
      </c>
      <c r="P171" s="1">
        <f>+Q171+R171+S171+T171+U171+V171+W171+X171+Y171+Z171+AA171</f>
        <v>8044</v>
      </c>
      <c r="Q171" s="1">
        <v>1292</v>
      </c>
      <c r="R171" s="1">
        <v>433</v>
      </c>
      <c r="S171" s="1">
        <v>166</v>
      </c>
      <c r="T171" s="1">
        <v>1983</v>
      </c>
      <c r="U171" s="1">
        <v>107</v>
      </c>
      <c r="V171" s="1">
        <v>290</v>
      </c>
      <c r="W171" s="1">
        <v>430</v>
      </c>
      <c r="X171" s="1">
        <v>721</v>
      </c>
      <c r="Y171" s="1">
        <v>799</v>
      </c>
      <c r="Z171" s="1">
        <v>203</v>
      </c>
      <c r="AA171" s="1">
        <v>1620</v>
      </c>
    </row>
    <row r="172" spans="1:27" s="1" customFormat="1" ht="11.25" customHeight="1">
      <c r="A172" s="1" t="s">
        <v>21</v>
      </c>
      <c r="B172" s="1">
        <v>37017882</v>
      </c>
      <c r="C172" s="1">
        <v>0</v>
      </c>
      <c r="D172" s="1">
        <v>655673</v>
      </c>
      <c r="E172" s="1">
        <v>2591343</v>
      </c>
      <c r="F172" s="1">
        <v>4999838</v>
      </c>
      <c r="G172" s="2" t="s">
        <v>32</v>
      </c>
      <c r="H172" s="1">
        <v>1062405</v>
      </c>
      <c r="I172" s="2" t="s">
        <v>32</v>
      </c>
      <c r="J172" s="1">
        <v>625077</v>
      </c>
      <c r="K172" s="1">
        <v>5441233</v>
      </c>
      <c r="L172" s="1">
        <v>5274362</v>
      </c>
      <c r="M172" s="1">
        <v>16070660</v>
      </c>
      <c r="O172" s="1" t="s">
        <v>21</v>
      </c>
      <c r="P172" s="1">
        <f>+Q172+R172+S172+T172+U172+V172+W172+X172+Y172+Z172+AA172</f>
        <v>215319102</v>
      </c>
      <c r="Q172" s="1">
        <v>55591211</v>
      </c>
      <c r="R172" s="1">
        <v>9870813</v>
      </c>
      <c r="S172" s="1">
        <v>3129130</v>
      </c>
      <c r="T172" s="1">
        <v>54762740</v>
      </c>
      <c r="U172" s="1">
        <v>2236750</v>
      </c>
      <c r="V172" s="1">
        <v>10627282</v>
      </c>
      <c r="W172" s="1">
        <v>9468066</v>
      </c>
      <c r="X172" s="1">
        <v>13270121</v>
      </c>
      <c r="Y172" s="1">
        <v>5691995</v>
      </c>
      <c r="Z172" s="1">
        <v>4140042</v>
      </c>
      <c r="AA172" s="1">
        <v>46530952</v>
      </c>
    </row>
    <row r="173" spans="1:27" s="1" customFormat="1" ht="11.25" customHeight="1">
      <c r="A173" s="1" t="s">
        <v>23</v>
      </c>
      <c r="B173" s="1">
        <f>(B172/B171)/12</f>
        <v>1646.9959957287774</v>
      </c>
      <c r="C173" s="1">
        <v>0</v>
      </c>
      <c r="D173" s="1">
        <f aca="true" t="shared" si="25" ref="D173:J173">(D172/D171)/12</f>
        <v>1365.9854166666667</v>
      </c>
      <c r="E173" s="1">
        <f t="shared" si="25"/>
        <v>1713.8511904761906</v>
      </c>
      <c r="F173" s="1">
        <f t="shared" si="25"/>
        <v>1375.0929592959294</v>
      </c>
      <c r="G173" s="2" t="s">
        <v>32</v>
      </c>
      <c r="H173" s="1">
        <f t="shared" si="25"/>
        <v>1702.5721153846152</v>
      </c>
      <c r="I173" s="2" t="s">
        <v>32</v>
      </c>
      <c r="J173" s="1">
        <f t="shared" si="25"/>
        <v>1407.831081081081</v>
      </c>
      <c r="K173" s="1">
        <f>(K172/K171)/12</f>
        <v>1082.1863564041369</v>
      </c>
      <c r="L173" s="1">
        <f>(L172/L171)/12</f>
        <v>1919.3457059679768</v>
      </c>
      <c r="M173" s="1">
        <f>(M172/M171)/12</f>
        <v>2109.010498687664</v>
      </c>
      <c r="O173" s="1" t="s">
        <v>23</v>
      </c>
      <c r="P173" s="1">
        <f>P172/(P171*12)</f>
        <v>2230.638799104923</v>
      </c>
      <c r="Q173" s="1">
        <f aca="true" t="shared" si="26" ref="Q173:AA173">Q172/(Q171*12)</f>
        <v>3585.604424664603</v>
      </c>
      <c r="R173" s="1">
        <f t="shared" si="26"/>
        <v>1899.694572748268</v>
      </c>
      <c r="S173" s="1">
        <f t="shared" si="26"/>
        <v>1570.8483935742972</v>
      </c>
      <c r="T173" s="1">
        <f t="shared" si="26"/>
        <v>2301.3422423936795</v>
      </c>
      <c r="U173" s="1">
        <f t="shared" si="26"/>
        <v>1742.0171339563863</v>
      </c>
      <c r="V173" s="1">
        <f t="shared" si="26"/>
        <v>3053.8166666666666</v>
      </c>
      <c r="W173" s="1">
        <f t="shared" si="26"/>
        <v>1834.8965116279069</v>
      </c>
      <c r="X173" s="1">
        <f t="shared" si="26"/>
        <v>1533.7634073046695</v>
      </c>
      <c r="Y173" s="1">
        <f t="shared" si="26"/>
        <v>593.6582186065916</v>
      </c>
      <c r="Z173" s="1">
        <f t="shared" si="26"/>
        <v>1699.5246305418718</v>
      </c>
      <c r="AA173" s="1">
        <f t="shared" si="26"/>
        <v>2393.5674897119343</v>
      </c>
    </row>
    <row r="174" s="1" customFormat="1" ht="11.25" customHeight="1"/>
    <row r="175" spans="1:60" s="1" customFormat="1" ht="11.25" customHeight="1">
      <c r="A175" s="9" t="s">
        <v>169</v>
      </c>
      <c r="O175" s="1" t="s">
        <v>122</v>
      </c>
      <c r="AY175" s="3"/>
      <c r="BH175" s="3"/>
    </row>
    <row r="176" spans="1:65" s="1" customFormat="1" ht="11.25" customHeight="1">
      <c r="A176" s="1" t="s">
        <v>18</v>
      </c>
      <c r="B176" s="1">
        <v>70</v>
      </c>
      <c r="C176" s="1">
        <v>0</v>
      </c>
      <c r="D176" s="1">
        <v>19</v>
      </c>
      <c r="E176" s="1">
        <v>4</v>
      </c>
      <c r="F176" s="1">
        <v>14</v>
      </c>
      <c r="G176" s="2" t="s">
        <v>32</v>
      </c>
      <c r="H176" s="1">
        <v>8</v>
      </c>
      <c r="I176" s="1">
        <v>7</v>
      </c>
      <c r="J176" s="1">
        <v>5</v>
      </c>
      <c r="K176" s="2" t="s">
        <v>32</v>
      </c>
      <c r="L176" s="2">
        <v>4</v>
      </c>
      <c r="M176" s="1">
        <v>6</v>
      </c>
      <c r="O176" s="1" t="s">
        <v>18</v>
      </c>
      <c r="P176" s="1">
        <v>160</v>
      </c>
      <c r="Q176" s="2" t="s">
        <v>32</v>
      </c>
      <c r="R176" s="1">
        <v>36</v>
      </c>
      <c r="S176" s="1">
        <v>15</v>
      </c>
      <c r="T176" s="1">
        <v>39</v>
      </c>
      <c r="U176" s="2" t="s">
        <v>32</v>
      </c>
      <c r="V176" s="1">
        <v>11</v>
      </c>
      <c r="W176" s="1">
        <v>15</v>
      </c>
      <c r="X176" s="1">
        <v>6</v>
      </c>
      <c r="Y176" s="1">
        <v>9</v>
      </c>
      <c r="Z176" s="1">
        <v>18</v>
      </c>
      <c r="AA176" s="1">
        <v>11</v>
      </c>
      <c r="AE176" s="3"/>
      <c r="AT176" s="3"/>
      <c r="AX176" s="3"/>
      <c r="AY176" s="3"/>
      <c r="BH176" s="3"/>
      <c r="BJ176" s="3"/>
      <c r="BK176" s="3"/>
      <c r="BL176" s="3"/>
      <c r="BM176" s="3"/>
    </row>
    <row r="177" spans="1:65" s="1" customFormat="1" ht="11.25" customHeight="1">
      <c r="A177" s="1" t="s">
        <v>20</v>
      </c>
      <c r="B177" s="1">
        <v>719</v>
      </c>
      <c r="C177" s="1">
        <v>0</v>
      </c>
      <c r="D177" s="1">
        <v>125</v>
      </c>
      <c r="E177" s="1">
        <v>61</v>
      </c>
      <c r="F177" s="1">
        <v>96</v>
      </c>
      <c r="G177" s="2" t="s">
        <v>32</v>
      </c>
      <c r="H177" s="1">
        <v>19</v>
      </c>
      <c r="I177" s="1">
        <v>19</v>
      </c>
      <c r="J177" s="1">
        <v>274</v>
      </c>
      <c r="K177" s="2" t="s">
        <v>32</v>
      </c>
      <c r="L177" s="2">
        <v>9</v>
      </c>
      <c r="M177" s="1">
        <v>101</v>
      </c>
      <c r="O177" s="1" t="s">
        <v>20</v>
      </c>
      <c r="P177" s="1">
        <v>2252</v>
      </c>
      <c r="Q177" s="2" t="s">
        <v>32</v>
      </c>
      <c r="R177" s="1">
        <v>176</v>
      </c>
      <c r="S177" s="1">
        <v>377</v>
      </c>
      <c r="T177" s="1">
        <v>1071</v>
      </c>
      <c r="U177" s="2" t="s">
        <v>32</v>
      </c>
      <c r="V177" s="1">
        <v>35</v>
      </c>
      <c r="W177" s="1">
        <v>51</v>
      </c>
      <c r="X177" s="1">
        <v>82</v>
      </c>
      <c r="Y177" s="1">
        <v>178</v>
      </c>
      <c r="Z177" s="1">
        <v>96</v>
      </c>
      <c r="AA177" s="1">
        <v>182</v>
      </c>
      <c r="AE177" s="3"/>
      <c r="AT177" s="3"/>
      <c r="AX177" s="3"/>
      <c r="AY177" s="3"/>
      <c r="BH177" s="3"/>
      <c r="BJ177" s="3"/>
      <c r="BK177" s="3"/>
      <c r="BL177" s="3"/>
      <c r="BM177" s="3"/>
    </row>
    <row r="178" spans="1:65" s="1" customFormat="1" ht="11.25" customHeight="1">
      <c r="A178" s="1" t="s">
        <v>21</v>
      </c>
      <c r="B178" s="1">
        <v>18299588</v>
      </c>
      <c r="C178" s="1">
        <v>0</v>
      </c>
      <c r="D178" s="1">
        <v>2445096</v>
      </c>
      <c r="E178" s="1">
        <v>1756712</v>
      </c>
      <c r="F178" s="1">
        <v>1468394</v>
      </c>
      <c r="G178" s="2" t="s">
        <v>32</v>
      </c>
      <c r="H178" s="1">
        <v>341961</v>
      </c>
      <c r="I178" s="1">
        <v>506531</v>
      </c>
      <c r="J178" s="1">
        <v>9362213</v>
      </c>
      <c r="K178" s="2" t="s">
        <v>32</v>
      </c>
      <c r="L178" s="2">
        <v>165975</v>
      </c>
      <c r="M178" s="1">
        <v>2098990</v>
      </c>
      <c r="O178" s="1" t="s">
        <v>110</v>
      </c>
      <c r="P178" s="1">
        <v>55323843</v>
      </c>
      <c r="Q178" s="2" t="s">
        <v>32</v>
      </c>
      <c r="R178" s="1">
        <v>3962843</v>
      </c>
      <c r="S178" s="1">
        <v>11310740</v>
      </c>
      <c r="T178" s="1">
        <v>28269493</v>
      </c>
      <c r="U178" s="2" t="s">
        <v>32</v>
      </c>
      <c r="V178" s="1">
        <v>833800</v>
      </c>
      <c r="W178" s="1">
        <v>1561756</v>
      </c>
      <c r="X178" s="1">
        <v>1206874</v>
      </c>
      <c r="Y178" s="1">
        <v>1702400</v>
      </c>
      <c r="Z178" s="1">
        <v>2094415</v>
      </c>
      <c r="AA178" s="1">
        <v>4307125</v>
      </c>
      <c r="AE178" s="3"/>
      <c r="AT178" s="3"/>
      <c r="AX178" s="3"/>
      <c r="AY178" s="3"/>
      <c r="BH178" s="3"/>
      <c r="BJ178" s="3"/>
      <c r="BK178" s="3"/>
      <c r="BL178" s="3"/>
      <c r="BM178" s="3"/>
    </row>
    <row r="179" spans="1:65" s="1" customFormat="1" ht="11.25" customHeight="1">
      <c r="A179" s="1" t="s">
        <v>23</v>
      </c>
      <c r="B179" s="1">
        <f>(B178/B177)/12</f>
        <v>2120.953639313862</v>
      </c>
      <c r="C179" s="1">
        <v>0</v>
      </c>
      <c r="D179" s="1">
        <f aca="true" t="shared" si="27" ref="D179:J179">(D178/D177)/12</f>
        <v>1630.064</v>
      </c>
      <c r="E179" s="1">
        <f t="shared" si="27"/>
        <v>2399.879781420765</v>
      </c>
      <c r="F179" s="1">
        <f t="shared" si="27"/>
        <v>1274.6475694444446</v>
      </c>
      <c r="G179" s="2" t="s">
        <v>32</v>
      </c>
      <c r="H179" s="1">
        <f t="shared" si="27"/>
        <v>1499.828947368421</v>
      </c>
      <c r="I179" s="1">
        <f t="shared" si="27"/>
        <v>2221.627192982456</v>
      </c>
      <c r="J179" s="1">
        <f t="shared" si="27"/>
        <v>2847.388381995134</v>
      </c>
      <c r="K179" s="2" t="s">
        <v>32</v>
      </c>
      <c r="L179" s="1">
        <f>(L178/L177)/12</f>
        <v>1536.8055555555557</v>
      </c>
      <c r="M179" s="1">
        <f>(M178/M177)/12</f>
        <v>1731.8399339933994</v>
      </c>
      <c r="O179" s="1" t="s">
        <v>123</v>
      </c>
      <c r="P179" s="1">
        <f>P178/(P177*12)</f>
        <v>2047.2114786856127</v>
      </c>
      <c r="Q179" s="2" t="s">
        <v>32</v>
      </c>
      <c r="R179" s="1">
        <f>R178/(R177*12)</f>
        <v>1876.3461174242425</v>
      </c>
      <c r="S179" s="1">
        <f>S178/(S177*12)</f>
        <v>2500.163572060124</v>
      </c>
      <c r="T179" s="1">
        <f>T178/(T177*12)</f>
        <v>2199.618191721133</v>
      </c>
      <c r="U179" s="2" t="s">
        <v>32</v>
      </c>
      <c r="V179" s="1">
        <f aca="true" t="shared" si="28" ref="V179:AA179">V178/(V177*12)</f>
        <v>1985.2380952380952</v>
      </c>
      <c r="W179" s="1">
        <f t="shared" si="28"/>
        <v>2551.8888888888887</v>
      </c>
      <c r="X179" s="1">
        <f t="shared" si="28"/>
        <v>1226.4979674796748</v>
      </c>
      <c r="Y179" s="1">
        <f t="shared" si="28"/>
        <v>797.0037453183521</v>
      </c>
      <c r="Z179" s="1">
        <f t="shared" si="28"/>
        <v>1818.068576388889</v>
      </c>
      <c r="AA179" s="1">
        <f t="shared" si="28"/>
        <v>1972.1268315018315</v>
      </c>
      <c r="AE179" s="3"/>
      <c r="AT179" s="3"/>
      <c r="AX179" s="3"/>
      <c r="AY179" s="3"/>
      <c r="BH179" s="3"/>
      <c r="BJ179" s="3"/>
      <c r="BK179" s="3"/>
      <c r="BL179" s="3"/>
      <c r="BM179" s="3"/>
    </row>
    <row r="180" s="1" customFormat="1" ht="11.25" customHeight="1">
      <c r="Q180" s="2"/>
    </row>
    <row r="181" spans="1:17" s="1" customFormat="1" ht="11.25" customHeight="1">
      <c r="A181" s="1" t="s">
        <v>43</v>
      </c>
      <c r="O181" s="1" t="s">
        <v>164</v>
      </c>
      <c r="Q181" s="2"/>
    </row>
    <row r="182" spans="1:27" s="1" customFormat="1" ht="11.25" customHeight="1">
      <c r="A182" s="1" t="s">
        <v>18</v>
      </c>
      <c r="B182" s="1">
        <v>38</v>
      </c>
      <c r="C182" s="1">
        <v>0</v>
      </c>
      <c r="D182" s="1">
        <v>6</v>
      </c>
      <c r="E182" s="3">
        <v>3</v>
      </c>
      <c r="F182" s="3">
        <v>8</v>
      </c>
      <c r="G182" s="1">
        <v>0</v>
      </c>
      <c r="H182" s="2" t="s">
        <v>32</v>
      </c>
      <c r="I182" s="1">
        <v>0</v>
      </c>
      <c r="J182" s="1">
        <v>3</v>
      </c>
      <c r="K182" s="1">
        <v>3</v>
      </c>
      <c r="L182" s="2" t="s">
        <v>32</v>
      </c>
      <c r="M182" s="1">
        <v>15</v>
      </c>
      <c r="O182" s="1" t="s">
        <v>18</v>
      </c>
      <c r="P182" s="1">
        <v>27</v>
      </c>
      <c r="Q182" s="2" t="s">
        <v>32</v>
      </c>
      <c r="R182" s="1">
        <v>3</v>
      </c>
      <c r="S182" s="2" t="s">
        <v>32</v>
      </c>
      <c r="T182" s="1">
        <v>7</v>
      </c>
      <c r="U182" s="1">
        <v>0</v>
      </c>
      <c r="V182" s="1">
        <v>0</v>
      </c>
      <c r="W182" s="1">
        <v>3</v>
      </c>
      <c r="X182" s="1">
        <v>0</v>
      </c>
      <c r="Y182" s="1">
        <v>6</v>
      </c>
      <c r="Z182" s="7">
        <v>3</v>
      </c>
      <c r="AA182" s="1">
        <v>3</v>
      </c>
    </row>
    <row r="183" spans="1:27" s="1" customFormat="1" ht="11.25" customHeight="1">
      <c r="A183" s="1" t="s">
        <v>20</v>
      </c>
      <c r="B183" s="1">
        <v>543</v>
      </c>
      <c r="C183" s="1">
        <v>0</v>
      </c>
      <c r="D183" s="1">
        <v>69</v>
      </c>
      <c r="E183" s="3">
        <v>33</v>
      </c>
      <c r="F183" s="3">
        <v>49</v>
      </c>
      <c r="G183" s="1">
        <v>0</v>
      </c>
      <c r="H183" s="2" t="s">
        <v>32</v>
      </c>
      <c r="I183" s="1">
        <v>0</v>
      </c>
      <c r="J183" s="1">
        <v>284</v>
      </c>
      <c r="K183" s="1">
        <v>16</v>
      </c>
      <c r="L183" s="2" t="s">
        <v>32</v>
      </c>
      <c r="M183" s="1">
        <v>97</v>
      </c>
      <c r="O183" s="1" t="s">
        <v>20</v>
      </c>
      <c r="P183" s="1">
        <v>421</v>
      </c>
      <c r="Q183" s="2" t="s">
        <v>32</v>
      </c>
      <c r="R183" s="1">
        <v>19</v>
      </c>
      <c r="S183" s="2" t="s">
        <v>32</v>
      </c>
      <c r="T183" s="1">
        <v>72</v>
      </c>
      <c r="U183" s="1">
        <v>0</v>
      </c>
      <c r="V183" s="1">
        <v>0</v>
      </c>
      <c r="W183" s="1">
        <v>10</v>
      </c>
      <c r="X183" s="1">
        <v>0</v>
      </c>
      <c r="Y183" s="1">
        <v>55</v>
      </c>
      <c r="Z183" s="7">
        <v>7</v>
      </c>
      <c r="AA183" s="1">
        <v>75</v>
      </c>
    </row>
    <row r="184" spans="1:27" s="1" customFormat="1" ht="11.25" customHeight="1">
      <c r="A184" s="1" t="s">
        <v>21</v>
      </c>
      <c r="B184" s="1">
        <v>12234602</v>
      </c>
      <c r="C184" s="1">
        <v>0</v>
      </c>
      <c r="D184" s="1">
        <v>1854119</v>
      </c>
      <c r="E184" s="3">
        <v>398862</v>
      </c>
      <c r="F184" s="3">
        <v>972771</v>
      </c>
      <c r="G184" s="1">
        <v>0</v>
      </c>
      <c r="H184" s="2" t="s">
        <v>32</v>
      </c>
      <c r="I184" s="1">
        <v>0</v>
      </c>
      <c r="J184" s="1">
        <v>6596364</v>
      </c>
      <c r="K184" s="1">
        <v>141118</v>
      </c>
      <c r="L184" s="2" t="s">
        <v>32</v>
      </c>
      <c r="M184" s="1">
        <v>2260974</v>
      </c>
      <c r="O184" s="1" t="s">
        <v>21</v>
      </c>
      <c r="P184" s="1">
        <v>13292301</v>
      </c>
      <c r="Q184" s="2" t="s">
        <v>32</v>
      </c>
      <c r="R184" s="1">
        <v>318888</v>
      </c>
      <c r="S184" s="2" t="s">
        <v>32</v>
      </c>
      <c r="T184" s="1">
        <v>1792390</v>
      </c>
      <c r="U184" s="1">
        <v>0</v>
      </c>
      <c r="V184" s="1">
        <v>0</v>
      </c>
      <c r="W184" s="1">
        <v>133575</v>
      </c>
      <c r="X184" s="1">
        <v>0</v>
      </c>
      <c r="Y184" s="1">
        <v>408559</v>
      </c>
      <c r="Z184" s="7">
        <v>89767</v>
      </c>
      <c r="AA184" s="1">
        <v>1427198</v>
      </c>
    </row>
    <row r="185" spans="1:27" s="1" customFormat="1" ht="11.25" customHeight="1">
      <c r="A185" s="1" t="s">
        <v>23</v>
      </c>
      <c r="B185" s="1">
        <f>(B184/B183)/12</f>
        <v>1877.6246163290361</v>
      </c>
      <c r="C185" s="1">
        <v>0</v>
      </c>
      <c r="D185" s="1">
        <f>(D184/D183)/12</f>
        <v>2239.274154589372</v>
      </c>
      <c r="E185" s="1">
        <f>(E184/E183)/12</f>
        <v>1007.2272727272726</v>
      </c>
      <c r="F185" s="1">
        <f>(F184/F183)/12</f>
        <v>1654.372448979592</v>
      </c>
      <c r="G185" s="1">
        <v>0</v>
      </c>
      <c r="H185" s="2" t="s">
        <v>32</v>
      </c>
      <c r="I185" s="1">
        <v>0</v>
      </c>
      <c r="J185" s="1">
        <f>(J184/J183)/12</f>
        <v>1935.5528169014085</v>
      </c>
      <c r="K185" s="1">
        <f>(K184/K183)/12</f>
        <v>734.9895833333334</v>
      </c>
      <c r="L185" s="2" t="s">
        <v>32</v>
      </c>
      <c r="M185" s="1">
        <f>(M184/M183)/12</f>
        <v>1942.4175257731958</v>
      </c>
      <c r="O185" s="1" t="s">
        <v>23</v>
      </c>
      <c r="P185" s="1">
        <f>P184/(P183*12)</f>
        <v>2631.096793349169</v>
      </c>
      <c r="Q185" s="2" t="s">
        <v>32</v>
      </c>
      <c r="R185" s="1">
        <f>R184/(R183*12)</f>
        <v>1398.6315789473683</v>
      </c>
      <c r="S185" s="2" t="s">
        <v>32</v>
      </c>
      <c r="T185" s="1">
        <f>T184/(T183*12)</f>
        <v>2074.525462962963</v>
      </c>
      <c r="U185" s="1">
        <v>0</v>
      </c>
      <c r="V185" s="1">
        <v>0</v>
      </c>
      <c r="W185" s="1">
        <f>W184/(W183*12)</f>
        <v>1113.125</v>
      </c>
      <c r="X185" s="1">
        <v>0</v>
      </c>
      <c r="Y185" s="1">
        <f>Y184/(Y183*12)</f>
        <v>619.0287878787879</v>
      </c>
      <c r="Z185" s="1">
        <f>Z184/(Z183*12)</f>
        <v>1068.654761904762</v>
      </c>
      <c r="AA185" s="1">
        <f>AA184/(AA183*12)</f>
        <v>1585.7755555555555</v>
      </c>
    </row>
    <row r="186" s="1" customFormat="1" ht="11.25" customHeight="1">
      <c r="Q186" s="2"/>
    </row>
    <row r="187" spans="1:17" s="1" customFormat="1" ht="11.25" customHeight="1">
      <c r="A187" s="1" t="s">
        <v>91</v>
      </c>
      <c r="O187" s="1" t="s">
        <v>87</v>
      </c>
      <c r="Q187" s="2"/>
    </row>
    <row r="188" spans="15:45" s="1" customFormat="1" ht="11.25" customHeight="1">
      <c r="O188" s="1" t="s">
        <v>18</v>
      </c>
      <c r="P188" s="1">
        <v>38</v>
      </c>
      <c r="Q188" s="2" t="s">
        <v>32</v>
      </c>
      <c r="R188" s="1">
        <v>0</v>
      </c>
      <c r="S188" s="1">
        <v>3</v>
      </c>
      <c r="T188" s="1">
        <v>9</v>
      </c>
      <c r="U188" s="1">
        <v>3</v>
      </c>
      <c r="V188" s="3">
        <v>3</v>
      </c>
      <c r="W188" s="2" t="s">
        <v>32</v>
      </c>
      <c r="X188" s="1">
        <v>4</v>
      </c>
      <c r="Y188" s="1">
        <v>9</v>
      </c>
      <c r="Z188" s="2" t="s">
        <v>32</v>
      </c>
      <c r="AA188" s="1">
        <v>4</v>
      </c>
      <c r="AE188" s="3"/>
      <c r="AH188" s="3"/>
      <c r="AS188" s="3"/>
    </row>
    <row r="189" spans="15:45" s="1" customFormat="1" ht="11.25" customHeight="1">
      <c r="O189" s="1" t="s">
        <v>20</v>
      </c>
      <c r="P189" s="1">
        <v>315</v>
      </c>
      <c r="Q189" s="2" t="s">
        <v>32</v>
      </c>
      <c r="R189" s="1">
        <v>0</v>
      </c>
      <c r="S189" s="1">
        <v>43</v>
      </c>
      <c r="T189" s="1">
        <v>46</v>
      </c>
      <c r="U189" s="1">
        <v>27</v>
      </c>
      <c r="V189" s="3">
        <v>10</v>
      </c>
      <c r="W189" s="2" t="s">
        <v>32</v>
      </c>
      <c r="X189" s="1">
        <v>25</v>
      </c>
      <c r="Y189" s="1">
        <v>59</v>
      </c>
      <c r="Z189" s="2" t="s">
        <v>32</v>
      </c>
      <c r="AA189" s="1">
        <v>85</v>
      </c>
      <c r="AE189" s="3"/>
      <c r="AH189" s="3"/>
      <c r="AS189" s="3"/>
    </row>
    <row r="190" spans="15:45" s="1" customFormat="1" ht="11.25" customHeight="1">
      <c r="O190" s="1" t="s">
        <v>21</v>
      </c>
      <c r="P190" s="1">
        <v>8450091</v>
      </c>
      <c r="Q190" s="2" t="s">
        <v>32</v>
      </c>
      <c r="R190" s="1">
        <v>0</v>
      </c>
      <c r="S190" s="1">
        <v>2205412</v>
      </c>
      <c r="T190" s="1">
        <v>885529</v>
      </c>
      <c r="U190" s="1">
        <v>1408743</v>
      </c>
      <c r="V190" s="3">
        <v>123432</v>
      </c>
      <c r="W190" s="2" t="s">
        <v>32</v>
      </c>
      <c r="X190" s="1">
        <v>346768</v>
      </c>
      <c r="Y190" s="1">
        <v>663296</v>
      </c>
      <c r="Z190" s="2" t="s">
        <v>32</v>
      </c>
      <c r="AA190" s="1">
        <v>2102318</v>
      </c>
      <c r="AE190" s="3"/>
      <c r="AH190" s="3"/>
      <c r="AS190" s="3"/>
    </row>
    <row r="191" spans="15:45" s="1" customFormat="1" ht="11.25" customHeight="1">
      <c r="O191" s="1" t="s">
        <v>23</v>
      </c>
      <c r="P191" s="1">
        <f>P190/(P189*12)</f>
        <v>2235.4738095238095</v>
      </c>
      <c r="Q191" s="2" t="s">
        <v>32</v>
      </c>
      <c r="R191" s="1">
        <v>0</v>
      </c>
      <c r="S191" s="1">
        <f>S190/(S189*12)</f>
        <v>4274.054263565891</v>
      </c>
      <c r="T191" s="1">
        <f>T190/(T189*12)</f>
        <v>1604.2192028985507</v>
      </c>
      <c r="U191" s="1">
        <f>U190/(U189*12)</f>
        <v>4347.972222222223</v>
      </c>
      <c r="V191" s="1">
        <f>V190/(V189*12)</f>
        <v>1028.6</v>
      </c>
      <c r="W191" s="2" t="s">
        <v>32</v>
      </c>
      <c r="X191" s="1">
        <f>X190/(X189*12)</f>
        <v>1155.8933333333334</v>
      </c>
      <c r="Y191" s="1">
        <f>Y190/(Y189*12)</f>
        <v>936.8587570621469</v>
      </c>
      <c r="Z191" s="2" t="s">
        <v>32</v>
      </c>
      <c r="AA191" s="1">
        <f>AA190/(AA189*12)</f>
        <v>2061.0960784313725</v>
      </c>
      <c r="AE191" s="3"/>
      <c r="AH191" s="3"/>
      <c r="AS191" s="3"/>
    </row>
    <row r="192" s="1" customFormat="1" ht="11.25" customHeight="1">
      <c r="AS192" s="3"/>
    </row>
    <row r="193" s="1" customFormat="1" ht="11.25" customHeight="1"/>
    <row r="194" spans="31:50" s="1" customFormat="1" ht="11.25" customHeight="1">
      <c r="AE194" s="3"/>
      <c r="AS194" s="3"/>
      <c r="AV194" s="3"/>
      <c r="AX194" s="3"/>
    </row>
    <row r="195" spans="31:50" s="1" customFormat="1" ht="11.25" customHeight="1">
      <c r="AE195" s="3"/>
      <c r="AS195" s="3"/>
      <c r="AV195" s="3"/>
      <c r="AX195" s="3"/>
    </row>
    <row r="196" spans="31:50" s="1" customFormat="1" ht="11.25" customHeight="1">
      <c r="AE196" s="3"/>
      <c r="AS196" s="3"/>
      <c r="AV196" s="3"/>
      <c r="AX196" s="3"/>
    </row>
    <row r="197" spans="31:50" s="1" customFormat="1" ht="11.25" customHeight="1">
      <c r="AE197" s="3"/>
      <c r="AS197" s="3"/>
      <c r="AV197" s="3"/>
      <c r="AX197" s="3"/>
    </row>
    <row r="198" s="1" customFormat="1" ht="11.25" customHeight="1"/>
    <row r="199" s="1" customFormat="1" ht="11.25" customHeight="1"/>
    <row r="200" s="1" customFormat="1" ht="11.25" customHeight="1"/>
    <row r="201" s="1" customFormat="1" ht="11.25" customHeight="1"/>
    <row r="202" s="1" customFormat="1" ht="11.25" customHeight="1"/>
    <row r="203" s="1" customFormat="1" ht="11.25" customHeight="1"/>
    <row r="204" s="1" customFormat="1" ht="11.25" customHeight="1"/>
    <row r="205" s="1" customFormat="1" ht="11.25" customHeight="1"/>
    <row r="206" s="1" customFormat="1" ht="11.25" customHeight="1"/>
    <row r="207" s="1" customFormat="1" ht="11.25" customHeight="1"/>
    <row r="208" s="1" customFormat="1" ht="11.25" customHeight="1"/>
    <row r="209" s="1" customFormat="1" ht="11.25" customHeight="1"/>
    <row r="210" s="1" customFormat="1" ht="11.25" customHeight="1"/>
    <row r="211" s="1" customFormat="1" ht="11.25" customHeight="1"/>
    <row r="212" s="1" customFormat="1" ht="11.25" customHeight="1"/>
    <row r="213" s="1" customFormat="1" ht="11.25" customHeight="1"/>
    <row r="214" s="1" customFormat="1" ht="11.25" customHeight="1"/>
    <row r="215" s="1" customFormat="1" ht="11.25" customHeight="1"/>
    <row r="216" s="1" customFormat="1" ht="11.25" customHeight="1"/>
    <row r="217" s="1" customFormat="1" ht="11.25" customHeight="1"/>
    <row r="218" s="1" customFormat="1" ht="11.25" customHeight="1"/>
    <row r="219" s="1" customFormat="1" ht="11.25" customHeight="1"/>
    <row r="220" s="1" customFormat="1" ht="11.25" customHeight="1"/>
    <row r="221" s="1" customFormat="1" ht="11.25" customHeight="1"/>
    <row r="222" s="1" customFormat="1" ht="11.25" customHeight="1"/>
    <row r="223" s="1" customFormat="1" ht="11.25" customHeight="1"/>
    <row r="224" s="1" customFormat="1" ht="11.25" customHeight="1"/>
    <row r="225" s="1" customFormat="1" ht="11.25" customHeight="1"/>
    <row r="226" s="1" customFormat="1" ht="11.25" customHeight="1"/>
    <row r="227" s="1" customFormat="1" ht="11.25" customHeight="1"/>
    <row r="228" s="1" customFormat="1" ht="11.25" customHeight="1"/>
    <row r="229" s="1" customFormat="1" ht="11.25" customHeight="1"/>
    <row r="230" s="1" customFormat="1" ht="11.25" customHeight="1"/>
    <row r="231" s="1" customFormat="1" ht="11.25" customHeight="1"/>
    <row r="232" s="1" customFormat="1" ht="11.25" customHeight="1"/>
    <row r="233" s="1" customFormat="1" ht="11.25" customHeight="1"/>
    <row r="234" s="1" customFormat="1" ht="11.25" customHeight="1"/>
    <row r="235" s="1" customFormat="1" ht="11.25" customHeight="1"/>
    <row r="236" s="1" customFormat="1" ht="11.25" customHeight="1"/>
    <row r="237" s="1" customFormat="1" ht="11.25" customHeight="1"/>
    <row r="238" s="1" customFormat="1" ht="11.25" customHeight="1"/>
    <row r="239" s="1" customFormat="1" ht="11.25"/>
    <row r="240" s="1" customFormat="1" ht="11.25"/>
    <row r="241" s="1" customFormat="1" ht="11.25"/>
    <row r="242" s="1" customFormat="1" ht="11.25"/>
    <row r="243" s="1" customFormat="1" ht="11.25"/>
    <row r="244" s="1" customFormat="1" ht="11.25"/>
    <row r="245" s="1" customFormat="1" ht="11.25"/>
    <row r="246" s="1" customFormat="1" ht="11.25"/>
    <row r="247" s="1" customFormat="1" ht="11.25"/>
    <row r="248" s="1" customFormat="1" ht="11.25"/>
    <row r="249" s="1" customFormat="1" ht="11.25"/>
    <row r="250" s="1" customFormat="1" ht="11.25"/>
    <row r="251" s="1" customFormat="1" ht="11.25"/>
    <row r="252" s="1" customFormat="1" ht="11.25"/>
    <row r="253" s="1" customFormat="1" ht="11.25"/>
    <row r="254" s="1" customFormat="1" ht="11.25"/>
    <row r="255" s="1" customFormat="1" ht="11.25"/>
    <row r="256" s="1" customFormat="1" ht="11.25"/>
    <row r="257" s="1" customFormat="1" ht="11.25"/>
    <row r="258" s="1" customFormat="1" ht="11.25"/>
    <row r="259" s="1" customFormat="1" ht="11.25"/>
    <row r="260" s="1" customFormat="1" ht="11.25"/>
    <row r="261" s="1" customFormat="1" ht="11.25"/>
    <row r="262" s="1" customFormat="1" ht="11.25"/>
    <row r="263" s="1" customFormat="1" ht="11.25"/>
    <row r="264" s="1" customFormat="1" ht="11.25"/>
    <row r="265" s="1" customFormat="1" ht="11.25"/>
    <row r="266" s="1" customFormat="1" ht="11.25"/>
    <row r="267" s="1" customFormat="1" ht="11.25"/>
    <row r="268" s="1" customFormat="1" ht="11.25"/>
    <row r="269" s="1" customFormat="1" ht="11.25"/>
    <row r="270" s="1" customFormat="1" ht="11.25"/>
    <row r="271" s="1" customFormat="1" ht="11.25"/>
    <row r="272" s="1" customFormat="1" ht="11.25"/>
    <row r="273" s="1" customFormat="1" ht="11.25"/>
    <row r="274" s="1" customFormat="1" ht="11.25"/>
    <row r="275" s="1" customFormat="1" ht="11.25"/>
    <row r="276" s="1" customFormat="1" ht="11.25"/>
    <row r="277" s="1" customFormat="1" ht="11.25"/>
    <row r="278" s="1" customFormat="1" ht="11.25"/>
    <row r="279" s="1" customFormat="1" ht="11.25"/>
    <row r="280" s="1" customFormat="1" ht="11.25"/>
    <row r="281" s="1" customFormat="1" ht="11.25"/>
    <row r="282" s="1" customFormat="1" ht="11.25"/>
    <row r="283" s="1" customFormat="1" ht="11.25"/>
    <row r="284" s="1" customFormat="1" ht="11.25"/>
    <row r="285" s="1" customFormat="1" ht="11.25"/>
    <row r="286" s="1" customFormat="1" ht="11.25"/>
    <row r="287" s="1" customFormat="1" ht="11.25"/>
    <row r="288" s="1" customFormat="1" ht="11.25"/>
    <row r="289" s="1" customFormat="1" ht="11.25"/>
    <row r="290" s="1" customFormat="1" ht="11.25"/>
    <row r="291" s="1" customFormat="1" ht="11.25"/>
    <row r="292" s="1" customFormat="1" ht="11.25"/>
    <row r="293" s="1" customFormat="1" ht="11.25"/>
    <row r="294" s="1" customFormat="1" ht="11.25"/>
    <row r="295" s="1" customFormat="1" ht="11.25"/>
    <row r="296" s="1" customFormat="1" ht="11.25"/>
    <row r="297" s="1" customFormat="1" ht="11.25"/>
    <row r="298" s="1" customFormat="1" ht="11.25"/>
    <row r="299" s="1" customFormat="1" ht="11.25"/>
    <row r="300" s="1" customFormat="1" ht="11.25"/>
    <row r="301" s="1" customFormat="1" ht="11.25"/>
    <row r="302" s="1" customFormat="1" ht="11.25"/>
    <row r="303" s="1" customFormat="1" ht="11.25"/>
    <row r="304" s="1" customFormat="1" ht="11.25"/>
    <row r="305" s="1" customFormat="1" ht="11.25"/>
    <row r="306" s="1" customFormat="1" ht="11.25"/>
    <row r="307" s="1" customFormat="1" ht="11.25"/>
    <row r="308" s="1" customFormat="1" ht="11.25"/>
    <row r="309" s="1" customFormat="1" ht="11.25"/>
    <row r="310" s="1" customFormat="1" ht="11.25"/>
    <row r="311" s="1" customFormat="1" ht="11.25"/>
    <row r="312" s="1" customFormat="1" ht="11.25"/>
    <row r="313" s="1" customFormat="1" ht="11.25"/>
    <row r="314" s="1" customFormat="1" ht="11.25"/>
    <row r="315" s="1" customFormat="1" ht="11.25"/>
    <row r="316" s="1" customFormat="1" ht="11.25"/>
    <row r="317" s="1" customFormat="1" ht="11.25"/>
    <row r="318" s="1" customFormat="1" ht="11.25"/>
    <row r="319" s="1" customFormat="1" ht="11.25"/>
    <row r="320" s="1" customFormat="1" ht="11.25"/>
    <row r="321" s="1" customFormat="1" ht="11.25"/>
    <row r="322" s="1" customFormat="1" ht="11.25"/>
    <row r="323" s="1" customFormat="1" ht="11.25"/>
    <row r="324" s="1" customFormat="1" ht="11.25"/>
    <row r="325" s="1" customFormat="1" ht="11.25"/>
    <row r="326" s="1" customFormat="1" ht="11.25"/>
    <row r="327" s="1" customFormat="1" ht="11.25"/>
    <row r="328" s="1" customFormat="1" ht="11.25"/>
    <row r="329" s="1" customFormat="1" ht="11.25"/>
    <row r="330" s="1" customFormat="1" ht="11.25"/>
    <row r="331" s="1" customFormat="1" ht="11.25"/>
    <row r="332" s="1" customFormat="1" ht="11.25"/>
    <row r="333" s="1" customFormat="1" ht="11.25"/>
    <row r="334" s="1" customFormat="1" ht="11.25"/>
    <row r="335" s="1" customFormat="1" ht="11.25"/>
    <row r="336" s="1" customFormat="1" ht="11.25"/>
    <row r="337" s="1" customFormat="1" ht="11.25"/>
    <row r="338" s="1" customFormat="1" ht="11.25"/>
    <row r="339" s="1" customFormat="1" ht="11.25"/>
    <row r="340" s="1" customFormat="1" ht="11.25"/>
    <row r="341" s="1" customFormat="1" ht="11.25"/>
    <row r="342" s="1" customFormat="1" ht="11.25"/>
    <row r="343" s="1" customFormat="1" ht="11.25"/>
    <row r="344" s="1" customFormat="1" ht="11.25"/>
    <row r="345" s="1" customFormat="1" ht="11.25"/>
    <row r="346" s="1" customFormat="1" ht="11.25"/>
    <row r="347" s="1" customFormat="1" ht="11.25"/>
    <row r="348" s="1" customFormat="1" ht="11.25"/>
    <row r="349" s="1" customFormat="1" ht="11.25"/>
    <row r="350" s="1" customFormat="1" ht="11.25"/>
    <row r="351" s="1" customFormat="1" ht="11.25"/>
    <row r="352" s="1" customFormat="1" ht="11.25"/>
    <row r="353" s="1" customFormat="1" ht="11.25"/>
    <row r="354" s="1" customFormat="1" ht="11.25"/>
    <row r="355" s="1" customFormat="1" ht="11.25"/>
    <row r="356" s="1" customFormat="1" ht="11.25"/>
    <row r="357" s="1" customFormat="1" ht="11.25"/>
    <row r="358" s="1" customFormat="1" ht="11.25"/>
    <row r="359" s="1" customFormat="1" ht="11.25"/>
    <row r="360" s="1" customFormat="1" ht="11.25"/>
    <row r="361" s="1" customFormat="1" ht="11.25"/>
    <row r="362" s="1" customFormat="1" ht="11.25"/>
    <row r="363" s="1" customFormat="1" ht="11.25"/>
    <row r="364" s="1" customFormat="1" ht="11.25"/>
    <row r="365" s="1" customFormat="1" ht="11.25"/>
    <row r="366" s="1" customFormat="1" ht="11.25"/>
    <row r="367" s="1" customFormat="1" ht="11.25"/>
    <row r="368" s="1" customFormat="1" ht="11.25"/>
    <row r="369" s="1" customFormat="1" ht="11.25"/>
    <row r="370" s="1" customFormat="1" ht="11.25"/>
    <row r="371" s="1" customFormat="1" ht="11.25"/>
    <row r="372" s="1" customFormat="1" ht="11.25"/>
    <row r="373" s="1" customFormat="1" ht="11.25"/>
    <row r="374" s="1" customFormat="1" ht="11.25"/>
    <row r="375" s="1" customFormat="1" ht="11.25"/>
    <row r="376" s="1" customFormat="1" ht="11.25"/>
    <row r="377" s="1" customFormat="1" ht="11.25"/>
    <row r="378" s="1" customFormat="1" ht="11.25"/>
    <row r="379" s="1" customFormat="1" ht="11.25"/>
    <row r="380" s="1" customFormat="1" ht="11.25"/>
    <row r="381" s="1" customFormat="1" ht="11.25"/>
    <row r="382" s="1" customFormat="1" ht="11.25"/>
    <row r="383" s="1" customFormat="1" ht="11.25"/>
    <row r="384" s="1" customFormat="1" ht="11.25"/>
    <row r="385" s="1" customFormat="1" ht="11.25"/>
    <row r="386" s="1" customFormat="1" ht="11.25"/>
    <row r="387" s="1" customFormat="1" ht="11.25"/>
    <row r="388" s="1" customFormat="1" ht="11.25"/>
    <row r="389" s="1" customFormat="1" ht="11.25"/>
    <row r="390" s="1" customFormat="1" ht="11.25"/>
    <row r="391" s="1" customFormat="1" ht="11.25"/>
    <row r="392" s="1" customFormat="1" ht="11.25"/>
    <row r="393" s="1" customFormat="1" ht="11.25"/>
    <row r="394" s="1" customFormat="1" ht="11.25"/>
    <row r="395" s="1" customFormat="1" ht="11.25"/>
    <row r="396" s="1" customFormat="1" ht="11.25"/>
    <row r="397" s="1" customFormat="1" ht="11.25"/>
    <row r="398" s="1" customFormat="1" ht="11.25"/>
    <row r="399" s="1" customFormat="1" ht="11.25"/>
    <row r="400" s="1" customFormat="1" ht="11.25"/>
    <row r="401" s="1" customFormat="1" ht="11.25"/>
    <row r="402" s="1" customFormat="1" ht="11.25"/>
    <row r="403" s="1" customFormat="1" ht="11.25"/>
    <row r="404" s="1" customFormat="1" ht="11.25"/>
    <row r="405" s="1" customFormat="1" ht="11.25"/>
    <row r="406" s="1" customFormat="1" ht="11.25"/>
    <row r="407" s="1" customFormat="1" ht="11.25"/>
    <row r="408" s="1" customFormat="1" ht="11.25"/>
    <row r="409" s="1" customFormat="1" ht="11.25"/>
    <row r="410" s="1" customFormat="1" ht="11.25"/>
    <row r="411" s="1" customFormat="1" ht="11.25"/>
    <row r="412" s="1" customFormat="1" ht="11.25"/>
    <row r="413" s="1" customFormat="1" ht="11.25"/>
    <row r="414" s="1" customFormat="1" ht="11.25"/>
    <row r="415" s="1" customFormat="1" ht="11.25"/>
    <row r="416" s="1" customFormat="1" ht="11.25"/>
    <row r="417" s="1" customFormat="1" ht="11.25"/>
    <row r="418" s="1" customFormat="1" ht="11.25"/>
    <row r="419" s="1" customFormat="1" ht="11.25"/>
    <row r="420" s="1" customFormat="1" ht="11.25"/>
    <row r="421" s="1" customFormat="1" ht="11.25"/>
    <row r="422" s="1" customFormat="1" ht="11.25"/>
    <row r="423" s="1" customFormat="1" ht="11.25"/>
    <row r="424" s="1" customFormat="1" ht="11.25"/>
    <row r="425" s="1" customFormat="1" ht="11.25"/>
    <row r="426" s="1" customFormat="1" ht="11.25"/>
    <row r="427" s="1" customFormat="1" ht="11.25"/>
    <row r="428" s="1" customFormat="1" ht="11.25"/>
    <row r="429" s="1" customFormat="1" ht="11.25"/>
    <row r="430" s="1" customFormat="1" ht="11.25"/>
    <row r="431" s="1" customFormat="1" ht="11.25"/>
    <row r="432" s="1" customFormat="1" ht="11.25"/>
    <row r="433" s="1" customFormat="1" ht="11.25"/>
    <row r="434" s="1" customFormat="1" ht="11.25"/>
    <row r="435" s="1" customFormat="1" ht="11.25"/>
    <row r="436" s="1" customFormat="1" ht="11.25"/>
    <row r="437" s="1" customFormat="1" ht="11.25"/>
    <row r="438" s="1" customFormat="1" ht="11.25"/>
    <row r="439" s="1" customFormat="1" ht="11.25"/>
    <row r="440" s="1" customFormat="1" ht="11.25"/>
    <row r="441" s="1" customFormat="1" ht="11.25"/>
    <row r="442" s="1" customFormat="1" ht="11.25"/>
    <row r="443" s="1" customFormat="1" ht="11.25"/>
    <row r="444" s="1" customFormat="1" ht="11.25"/>
    <row r="445" s="1" customFormat="1" ht="11.25"/>
    <row r="446" s="1" customFormat="1" ht="11.25"/>
    <row r="447" s="1" customFormat="1" ht="11.25"/>
    <row r="448" s="1" customFormat="1" ht="11.25"/>
    <row r="449" s="1" customFormat="1" ht="11.25"/>
    <row r="450" s="1" customFormat="1" ht="11.25"/>
    <row r="451" s="1" customFormat="1" ht="11.25"/>
    <row r="452" s="1" customFormat="1" ht="11.25"/>
    <row r="453" s="1" customFormat="1" ht="11.25"/>
    <row r="454" s="1" customFormat="1" ht="11.25"/>
    <row r="455" s="1" customFormat="1" ht="11.25"/>
    <row r="456" s="1" customFormat="1" ht="11.25"/>
    <row r="457" s="1" customFormat="1" ht="11.25"/>
    <row r="458" s="1" customFormat="1" ht="11.25"/>
    <row r="459" s="1" customFormat="1" ht="11.25"/>
    <row r="460" s="1" customFormat="1" ht="11.25"/>
    <row r="461" s="1" customFormat="1" ht="11.25"/>
    <row r="462" s="1" customFormat="1" ht="11.25"/>
    <row r="463" s="1" customFormat="1" ht="11.25"/>
    <row r="464" s="1" customFormat="1" ht="11.25"/>
    <row r="465" s="1" customFormat="1" ht="11.25"/>
    <row r="466" s="1" customFormat="1" ht="11.25"/>
    <row r="467" s="1" customFormat="1" ht="11.25"/>
    <row r="468" s="1" customFormat="1" ht="11.25"/>
    <row r="469" s="1" customFormat="1" ht="11.25"/>
    <row r="470" s="1" customFormat="1" ht="11.25"/>
    <row r="471" s="1" customFormat="1" ht="11.25"/>
    <row r="472" s="1" customFormat="1" ht="11.25"/>
    <row r="473" s="1" customFormat="1" ht="11.25"/>
    <row r="474" s="1" customFormat="1" ht="11.25"/>
    <row r="475" s="1" customFormat="1" ht="11.25"/>
    <row r="476" s="1" customFormat="1" ht="11.25"/>
    <row r="477" s="1" customFormat="1" ht="11.25"/>
    <row r="478" s="1" customFormat="1" ht="11.25"/>
    <row r="479" s="1" customFormat="1" ht="11.25"/>
    <row r="480" s="1" customFormat="1" ht="11.25"/>
    <row r="481" s="1" customFormat="1" ht="11.25"/>
    <row r="482" s="1" customFormat="1" ht="11.25"/>
    <row r="483" s="1" customFormat="1" ht="11.25"/>
    <row r="484" s="1" customFormat="1" ht="11.25"/>
    <row r="485" s="1" customFormat="1" ht="11.25"/>
    <row r="486" s="1" customFormat="1" ht="11.25"/>
    <row r="487" s="1" customFormat="1" ht="11.25"/>
    <row r="488" s="1" customFormat="1" ht="11.25"/>
    <row r="489" s="1" customFormat="1" ht="11.25"/>
    <row r="490" s="1" customFormat="1" ht="11.25"/>
    <row r="491" s="1" customFormat="1" ht="11.25"/>
    <row r="492" s="1" customFormat="1" ht="11.25"/>
    <row r="493" s="1" customFormat="1" ht="11.25"/>
    <row r="494" s="1" customFormat="1" ht="11.25"/>
    <row r="495" s="1" customFormat="1" ht="11.25"/>
    <row r="496" s="1" customFormat="1" ht="11.25"/>
    <row r="497" s="1" customFormat="1" ht="11.25"/>
    <row r="498" s="1" customFormat="1" ht="11.25"/>
    <row r="499" s="1" customFormat="1" ht="11.25"/>
    <row r="500" s="1" customFormat="1" ht="11.25"/>
    <row r="501" s="1" customFormat="1" ht="11.25"/>
    <row r="502" s="1" customFormat="1" ht="11.25"/>
    <row r="503" s="1" customFormat="1" ht="11.25"/>
    <row r="504" s="1" customFormat="1" ht="11.25"/>
    <row r="505" s="1" customFormat="1" ht="11.25"/>
    <row r="506" s="1" customFormat="1" ht="11.25"/>
    <row r="507" s="1" customFormat="1" ht="11.25"/>
    <row r="508" s="1" customFormat="1" ht="11.25"/>
    <row r="509" s="1" customFormat="1" ht="11.25"/>
    <row r="510" s="1" customFormat="1" ht="11.25"/>
    <row r="511" s="1" customFormat="1" ht="11.25"/>
    <row r="512" s="1" customFormat="1" ht="11.25"/>
    <row r="513" s="1" customFormat="1" ht="11.25"/>
    <row r="514" s="1" customFormat="1" ht="11.25"/>
    <row r="515" s="1" customFormat="1" ht="11.25"/>
    <row r="516" s="1" customFormat="1" ht="11.25"/>
    <row r="517" s="1" customFormat="1" ht="11.25"/>
    <row r="518" s="1" customFormat="1" ht="11.25"/>
    <row r="519" s="1" customFormat="1" ht="11.25"/>
    <row r="520" s="1" customFormat="1" ht="11.25"/>
    <row r="521" s="1" customFormat="1" ht="11.25"/>
    <row r="522" s="1" customFormat="1" ht="11.25"/>
    <row r="523" s="1" customFormat="1" ht="11.25"/>
    <row r="524" s="1" customFormat="1" ht="11.25"/>
    <row r="525" s="1" customFormat="1" ht="11.25"/>
    <row r="526" s="1" customFormat="1" ht="11.25"/>
    <row r="527" s="1" customFormat="1" ht="11.25"/>
    <row r="528" s="1" customFormat="1" ht="11.25"/>
    <row r="529" s="1" customFormat="1" ht="11.25"/>
    <row r="530" s="1" customFormat="1" ht="11.25"/>
    <row r="531" s="1" customFormat="1" ht="11.25"/>
    <row r="532" s="1" customFormat="1" ht="11.25"/>
    <row r="533" s="1" customFormat="1" ht="11.25"/>
    <row r="534" s="1" customFormat="1" ht="11.25"/>
    <row r="535" s="1" customFormat="1" ht="11.25"/>
    <row r="536" s="1" customFormat="1" ht="11.25"/>
    <row r="537" s="1" customFormat="1" ht="11.25"/>
    <row r="538" s="1" customFormat="1" ht="11.25"/>
    <row r="539" s="1" customFormat="1" ht="11.25"/>
    <row r="540" s="1" customFormat="1" ht="11.25"/>
    <row r="541" s="1" customFormat="1" ht="11.25"/>
    <row r="542" s="1" customFormat="1" ht="11.25"/>
    <row r="543" s="1" customFormat="1" ht="11.25"/>
    <row r="544" s="1" customFormat="1" ht="11.25"/>
    <row r="545" s="1" customFormat="1" ht="11.25"/>
    <row r="546" s="1" customFormat="1" ht="11.25"/>
    <row r="547" s="1" customFormat="1" ht="11.25"/>
    <row r="548" s="1" customFormat="1" ht="11.25"/>
    <row r="549" s="1" customFormat="1" ht="11.25"/>
    <row r="550" s="1" customFormat="1" ht="11.25"/>
    <row r="551" s="1" customFormat="1" ht="11.25"/>
    <row r="552" s="1" customFormat="1" ht="11.25"/>
    <row r="553" s="1" customFormat="1" ht="11.25"/>
    <row r="554" s="1" customFormat="1" ht="11.25"/>
    <row r="555" s="1" customFormat="1" ht="11.25"/>
    <row r="556" s="1" customFormat="1" ht="11.25"/>
    <row r="557" s="1" customFormat="1" ht="11.25"/>
    <row r="558" s="1" customFormat="1" ht="11.25"/>
    <row r="559" s="1" customFormat="1" ht="11.25"/>
    <row r="560" s="1" customFormat="1" ht="11.25"/>
    <row r="561" s="1" customFormat="1" ht="11.25"/>
    <row r="562" s="1" customFormat="1" ht="11.25"/>
    <row r="563" s="1" customFormat="1" ht="11.25"/>
    <row r="564" s="1" customFormat="1" ht="11.25"/>
    <row r="565" s="1" customFormat="1" ht="11.25"/>
    <row r="566" s="1" customFormat="1" ht="11.25"/>
    <row r="567" s="1" customFormat="1" ht="11.25"/>
    <row r="568" s="1" customFormat="1" ht="11.25"/>
    <row r="569" s="1" customFormat="1" ht="11.25"/>
    <row r="570" s="1" customFormat="1" ht="11.25"/>
    <row r="571" s="1" customFormat="1" ht="11.25"/>
    <row r="572" s="1" customFormat="1" ht="11.25"/>
    <row r="573" s="1" customFormat="1" ht="11.25"/>
    <row r="574" s="1" customFormat="1" ht="11.25"/>
    <row r="575" s="1" customFormat="1" ht="11.25"/>
    <row r="576" s="1" customFormat="1" ht="11.25"/>
    <row r="577" s="1" customFormat="1" ht="11.25"/>
    <row r="578" s="1" customFormat="1" ht="11.25"/>
    <row r="579" s="1" customFormat="1" ht="11.25"/>
    <row r="580" s="1" customFormat="1" ht="11.25"/>
    <row r="581" s="1" customFormat="1" ht="11.25"/>
    <row r="582" s="1" customFormat="1" ht="11.25"/>
    <row r="583" s="1" customFormat="1" ht="11.25"/>
    <row r="584" s="1" customFormat="1" ht="11.25"/>
    <row r="585" s="1" customFormat="1" ht="11.25"/>
    <row r="586" s="1" customFormat="1" ht="11.25"/>
    <row r="587" s="1" customFormat="1" ht="11.25"/>
    <row r="588" s="1" customFormat="1" ht="11.25"/>
    <row r="589" s="1" customFormat="1" ht="11.25"/>
    <row r="590" s="1" customFormat="1" ht="11.25"/>
    <row r="591" s="1" customFormat="1" ht="11.25"/>
    <row r="592" s="1" customFormat="1" ht="11.25"/>
    <row r="593" s="1" customFormat="1" ht="11.25"/>
    <row r="594" s="1" customFormat="1" ht="11.25"/>
    <row r="595" s="1" customFormat="1" ht="11.25"/>
    <row r="596" s="1" customFormat="1" ht="11.25"/>
    <row r="597" s="1" customFormat="1" ht="11.25"/>
    <row r="598" s="1" customFormat="1" ht="11.25"/>
    <row r="599" s="1" customFormat="1" ht="11.25"/>
    <row r="600" s="1" customFormat="1" ht="11.25"/>
    <row r="601" s="1" customFormat="1" ht="11.25"/>
    <row r="602" s="1" customFormat="1" ht="11.25"/>
    <row r="603" s="1" customFormat="1" ht="11.25"/>
    <row r="604" s="1" customFormat="1" ht="11.25"/>
    <row r="605" s="1" customFormat="1" ht="11.25"/>
    <row r="606" s="1" customFormat="1" ht="11.25"/>
    <row r="607" s="1" customFormat="1" ht="11.25"/>
    <row r="608" s="1" customFormat="1" ht="11.25"/>
    <row r="609" s="1" customFormat="1" ht="11.25"/>
    <row r="610" s="1" customFormat="1" ht="11.25"/>
    <row r="611" s="1" customFormat="1" ht="11.25"/>
    <row r="612" s="1" customFormat="1" ht="11.25"/>
    <row r="613" s="1" customFormat="1" ht="11.25"/>
    <row r="614" s="1" customFormat="1" ht="11.25"/>
    <row r="615" s="1" customFormat="1" ht="11.25"/>
    <row r="616" s="1" customFormat="1" ht="11.25"/>
    <row r="617" s="1" customFormat="1" ht="11.25"/>
    <row r="618" s="1" customFormat="1" ht="11.25"/>
    <row r="619" s="1" customFormat="1" ht="11.25"/>
    <row r="620" s="1" customFormat="1" ht="11.25"/>
    <row r="621" s="1" customFormat="1" ht="11.25"/>
    <row r="622" s="1" customFormat="1" ht="11.25"/>
    <row r="623" s="1" customFormat="1" ht="11.25"/>
    <row r="624" s="1" customFormat="1" ht="11.25"/>
    <row r="625" s="1" customFormat="1" ht="11.25"/>
    <row r="626" s="1" customFormat="1" ht="11.25"/>
    <row r="627" s="1" customFormat="1" ht="11.25"/>
    <row r="628" s="1" customFormat="1" ht="11.25"/>
    <row r="629" s="1" customFormat="1" ht="11.25"/>
    <row r="630" s="1" customFormat="1" ht="11.25"/>
    <row r="631" s="1" customFormat="1" ht="11.25"/>
    <row r="632" s="1" customFormat="1" ht="11.25"/>
    <row r="633" s="1" customFormat="1" ht="11.25"/>
    <row r="634" s="1" customFormat="1" ht="11.25"/>
    <row r="635" s="1" customFormat="1" ht="11.25"/>
    <row r="636" s="1" customFormat="1" ht="11.25"/>
    <row r="637" s="1" customFormat="1" ht="11.25"/>
    <row r="638" s="1" customFormat="1" ht="11.25"/>
    <row r="639" s="1" customFormat="1" ht="11.25"/>
    <row r="640" s="1" customFormat="1" ht="11.25"/>
    <row r="641" s="1" customFormat="1" ht="11.25"/>
    <row r="642" s="1" customFormat="1" ht="11.25"/>
    <row r="643" s="1" customFormat="1" ht="11.25"/>
    <row r="644" s="1" customFormat="1" ht="11.25"/>
    <row r="645" s="1" customFormat="1" ht="11.25"/>
    <row r="646" s="1" customFormat="1" ht="11.25"/>
    <row r="647" s="1" customFormat="1" ht="11.25"/>
    <row r="648" s="1" customFormat="1" ht="11.25"/>
    <row r="649" s="1" customFormat="1" ht="11.25"/>
    <row r="650" s="1" customFormat="1" ht="11.25"/>
    <row r="651" s="1" customFormat="1" ht="11.25"/>
    <row r="652" s="1" customFormat="1" ht="11.25"/>
    <row r="653" s="1" customFormat="1" ht="11.25"/>
    <row r="654" s="1" customFormat="1" ht="11.25"/>
    <row r="655" s="1" customFormat="1" ht="11.25"/>
    <row r="656" s="1" customFormat="1" ht="11.25"/>
    <row r="657" s="1" customFormat="1" ht="11.25"/>
    <row r="658" s="1" customFormat="1" ht="11.25"/>
    <row r="659" s="1" customFormat="1" ht="11.25"/>
    <row r="660" s="1" customFormat="1" ht="11.25"/>
    <row r="661" s="1" customFormat="1" ht="11.25"/>
    <row r="662" s="1" customFormat="1" ht="11.25"/>
    <row r="663" s="1" customFormat="1" ht="11.25"/>
    <row r="664" s="1" customFormat="1" ht="11.25"/>
    <row r="665" s="1" customFormat="1" ht="11.25"/>
    <row r="666" s="1" customFormat="1" ht="11.25"/>
    <row r="667" s="1" customFormat="1" ht="11.25"/>
    <row r="668" s="1" customFormat="1" ht="11.25"/>
    <row r="669" s="1" customFormat="1" ht="11.25"/>
    <row r="670" s="1" customFormat="1" ht="11.25"/>
    <row r="671" s="1" customFormat="1" ht="11.25"/>
    <row r="672" s="1" customFormat="1" ht="11.25"/>
    <row r="673" s="1" customFormat="1" ht="11.25"/>
    <row r="674" s="1" customFormat="1" ht="11.25"/>
    <row r="675" s="1" customFormat="1" ht="11.25"/>
    <row r="676" s="1" customFormat="1" ht="11.25"/>
    <row r="677" s="1" customFormat="1" ht="11.25"/>
    <row r="678" s="1" customFormat="1" ht="11.25"/>
    <row r="679" s="1" customFormat="1" ht="11.25"/>
    <row r="680" s="1" customFormat="1" ht="11.25"/>
    <row r="681" s="1" customFormat="1" ht="11.25"/>
    <row r="682" s="1" customFormat="1" ht="11.25"/>
    <row r="683" s="1" customFormat="1" ht="11.25"/>
    <row r="684" s="1" customFormat="1" ht="11.25"/>
    <row r="685" s="1" customFormat="1" ht="11.25"/>
    <row r="686" s="1" customFormat="1" ht="11.25"/>
    <row r="687" s="1" customFormat="1" ht="11.25"/>
    <row r="688" s="1" customFormat="1" ht="11.25"/>
    <row r="689" s="1" customFormat="1" ht="11.25"/>
    <row r="690" s="1" customFormat="1" ht="11.25"/>
    <row r="691" s="1" customFormat="1" ht="11.25"/>
    <row r="692" s="1" customFormat="1" ht="11.25"/>
    <row r="693" s="1" customFormat="1" ht="11.25"/>
    <row r="694" s="1" customFormat="1" ht="11.25"/>
    <row r="695" s="1" customFormat="1" ht="11.25"/>
    <row r="696" s="1" customFormat="1" ht="11.25"/>
    <row r="697" s="1" customFormat="1" ht="11.25"/>
    <row r="698" s="1" customFormat="1" ht="11.25"/>
    <row r="699" s="1" customFormat="1" ht="11.25"/>
    <row r="700" s="1" customFormat="1" ht="11.25"/>
    <row r="701" s="1" customFormat="1" ht="11.25"/>
    <row r="702" s="1" customFormat="1" ht="11.25"/>
    <row r="703" s="1" customFormat="1" ht="11.25"/>
    <row r="704" s="1" customFormat="1" ht="11.25"/>
    <row r="705" s="1" customFormat="1" ht="11.25"/>
    <row r="706" s="1" customFormat="1" ht="11.25"/>
    <row r="707" s="1" customFormat="1" ht="11.25"/>
    <row r="708" s="1" customFormat="1" ht="11.25"/>
    <row r="709" s="1" customFormat="1" ht="11.25"/>
    <row r="710" s="1" customFormat="1" ht="11.25"/>
    <row r="711" s="1" customFormat="1" ht="11.25"/>
    <row r="712" s="1" customFormat="1" ht="11.25"/>
    <row r="713" s="1" customFormat="1" ht="11.25"/>
    <row r="714" s="1" customFormat="1" ht="11.25"/>
    <row r="715" s="1" customFormat="1" ht="11.25"/>
    <row r="716" s="1" customFormat="1" ht="11.25"/>
    <row r="717" s="1" customFormat="1" ht="11.25"/>
    <row r="718" s="1" customFormat="1" ht="11.25"/>
    <row r="719" s="1" customFormat="1" ht="11.25"/>
    <row r="720" s="1" customFormat="1" ht="11.25"/>
    <row r="721" s="1" customFormat="1" ht="11.25"/>
    <row r="722" s="1" customFormat="1" ht="11.25"/>
    <row r="723" s="1" customFormat="1" ht="11.25"/>
    <row r="724" s="1" customFormat="1" ht="11.25"/>
    <row r="725" s="1" customFormat="1" ht="11.25"/>
    <row r="726" s="1" customFormat="1" ht="11.25"/>
    <row r="727" s="1" customFormat="1" ht="11.25"/>
    <row r="728" s="1" customFormat="1" ht="11.25"/>
    <row r="729" s="1" customFormat="1" ht="11.25"/>
    <row r="730" s="1" customFormat="1" ht="11.25"/>
    <row r="731" s="1" customFormat="1" ht="11.25"/>
    <row r="732" s="1" customFormat="1" ht="11.25"/>
    <row r="733" s="1" customFormat="1" ht="11.25"/>
    <row r="734" s="1" customFormat="1" ht="11.25"/>
    <row r="735" s="1" customFormat="1" ht="11.25"/>
    <row r="736" s="1" customFormat="1" ht="11.25"/>
    <row r="737" s="1" customFormat="1" ht="11.25"/>
    <row r="738" s="1" customFormat="1" ht="11.25"/>
    <row r="739" s="1" customFormat="1" ht="11.25"/>
    <row r="740" s="1" customFormat="1" ht="11.25"/>
    <row r="741" s="1" customFormat="1" ht="11.25"/>
    <row r="742" s="1" customFormat="1" ht="11.25"/>
    <row r="743" s="1" customFormat="1" ht="11.25"/>
    <row r="744" s="1" customFormat="1" ht="11.25"/>
    <row r="745" s="1" customFormat="1" ht="11.25"/>
    <row r="746" s="1" customFormat="1" ht="11.25"/>
    <row r="747" s="1" customFormat="1" ht="11.25"/>
    <row r="748" s="1" customFormat="1" ht="11.25"/>
    <row r="749" s="1" customFormat="1" ht="11.25"/>
    <row r="750" s="1" customFormat="1" ht="11.25"/>
    <row r="751" s="1" customFormat="1" ht="11.25"/>
    <row r="752" s="1" customFormat="1" ht="11.25"/>
    <row r="753" s="1" customFormat="1" ht="11.25"/>
    <row r="754" s="1" customFormat="1" ht="11.25"/>
    <row r="755" s="1" customFormat="1" ht="11.25"/>
    <row r="756" s="1" customFormat="1" ht="11.25"/>
    <row r="757" s="1" customFormat="1" ht="11.25"/>
    <row r="758" s="1" customFormat="1" ht="11.25"/>
    <row r="759" s="1" customFormat="1" ht="11.25"/>
    <row r="760" s="1" customFormat="1" ht="11.25"/>
    <row r="761" s="1" customFormat="1" ht="11.25"/>
    <row r="762" s="1" customFormat="1" ht="11.25"/>
    <row r="763" s="1" customFormat="1" ht="11.25"/>
    <row r="764" s="1" customFormat="1" ht="11.25"/>
    <row r="765" s="1" customFormat="1" ht="11.25"/>
    <row r="766" s="1" customFormat="1" ht="11.25"/>
    <row r="767" s="1" customFormat="1" ht="11.25"/>
    <row r="768" s="1" customFormat="1" ht="11.25"/>
    <row r="769" s="1" customFormat="1" ht="11.25"/>
    <row r="770" s="1" customFormat="1" ht="11.25"/>
    <row r="771" s="1" customFormat="1" ht="11.25"/>
    <row r="772" s="1" customFormat="1" ht="11.25"/>
    <row r="773" s="1" customFormat="1" ht="11.25"/>
    <row r="774" s="1" customFormat="1" ht="11.25"/>
    <row r="775" s="1" customFormat="1" ht="11.25"/>
    <row r="776" s="1" customFormat="1" ht="11.25"/>
    <row r="777" s="1" customFormat="1" ht="11.25"/>
    <row r="778" s="1" customFormat="1" ht="11.25"/>
    <row r="779" s="1" customFormat="1" ht="11.25"/>
    <row r="780" s="1" customFormat="1" ht="11.25"/>
    <row r="781" s="1" customFormat="1" ht="11.25"/>
    <row r="782" s="1" customFormat="1" ht="11.25"/>
    <row r="783" s="1" customFormat="1" ht="11.25"/>
    <row r="784" s="1" customFormat="1" ht="11.25"/>
    <row r="785" s="1" customFormat="1" ht="11.25"/>
    <row r="786" s="1" customFormat="1" ht="11.25"/>
    <row r="787" s="1" customFormat="1" ht="11.25"/>
    <row r="788" s="1" customFormat="1" ht="11.25"/>
    <row r="789" s="1" customFormat="1" ht="11.25"/>
    <row r="790" s="1" customFormat="1" ht="11.25"/>
    <row r="791" s="1" customFormat="1" ht="11.25"/>
    <row r="792" s="1" customFormat="1" ht="11.25"/>
    <row r="793" s="1" customFormat="1" ht="11.25"/>
    <row r="794" s="1" customFormat="1" ht="11.25"/>
    <row r="795" s="1" customFormat="1" ht="11.25"/>
    <row r="796" s="1" customFormat="1" ht="11.25"/>
    <row r="797" s="1" customFormat="1" ht="11.25"/>
    <row r="798" s="1" customFormat="1" ht="11.25"/>
    <row r="799" s="1" customFormat="1" ht="11.25"/>
    <row r="800" s="1" customFormat="1" ht="11.25"/>
    <row r="801" s="1" customFormat="1" ht="11.25"/>
    <row r="802" s="1" customFormat="1" ht="11.25"/>
    <row r="803" s="1" customFormat="1" ht="11.25"/>
    <row r="804" s="1" customFormat="1" ht="11.25"/>
    <row r="805" s="1" customFormat="1" ht="11.25"/>
    <row r="806" s="1" customFormat="1" ht="11.25"/>
    <row r="807" s="1" customFormat="1" ht="11.25"/>
    <row r="808" s="1" customFormat="1" ht="11.25"/>
    <row r="809" s="1" customFormat="1" ht="11.25"/>
    <row r="810" s="1" customFormat="1" ht="11.25"/>
    <row r="811" s="1" customFormat="1" ht="11.25"/>
    <row r="812" s="1" customFormat="1" ht="11.25"/>
    <row r="813" s="1" customFormat="1" ht="11.25"/>
    <row r="814" s="1" customFormat="1" ht="11.25"/>
    <row r="815" s="1" customFormat="1" ht="11.25"/>
    <row r="816" s="1" customFormat="1" ht="11.25"/>
    <row r="817" s="1" customFormat="1" ht="11.25"/>
    <row r="818" s="1" customFormat="1" ht="11.25"/>
    <row r="819" s="1" customFormat="1" ht="11.25"/>
    <row r="820" s="1" customFormat="1" ht="11.25"/>
    <row r="821" s="1" customFormat="1" ht="11.25"/>
    <row r="822" s="1" customFormat="1" ht="11.25"/>
    <row r="823" s="1" customFormat="1" ht="11.25"/>
    <row r="824" s="1" customFormat="1" ht="11.25"/>
    <row r="825" s="1" customFormat="1" ht="11.25"/>
    <row r="826" s="1" customFormat="1" ht="11.25"/>
    <row r="827" s="1" customFormat="1" ht="11.25"/>
    <row r="828" s="1" customFormat="1" ht="11.25"/>
    <row r="829" s="1" customFormat="1" ht="11.25"/>
    <row r="830" s="1" customFormat="1" ht="11.25"/>
    <row r="831" s="1" customFormat="1" ht="11.25"/>
    <row r="832" s="1" customFormat="1" ht="11.25"/>
    <row r="833" s="1" customFormat="1" ht="11.25"/>
    <row r="834" s="1" customFormat="1" ht="11.25"/>
    <row r="835" s="1" customFormat="1" ht="11.25"/>
    <row r="836" s="1" customFormat="1" ht="11.25"/>
    <row r="837" s="1" customFormat="1" ht="11.25"/>
    <row r="838" s="1" customFormat="1" ht="11.25"/>
    <row r="839" s="1" customFormat="1" ht="11.25"/>
    <row r="840" s="1" customFormat="1" ht="11.25"/>
    <row r="841" s="1" customFormat="1" ht="11.25"/>
    <row r="842" s="1" customFormat="1" ht="11.25"/>
    <row r="843" s="1" customFormat="1" ht="11.25"/>
    <row r="844" s="1" customFormat="1" ht="11.25"/>
    <row r="845" s="1" customFormat="1" ht="11.25"/>
    <row r="846" s="1" customFormat="1" ht="11.25"/>
    <row r="847" s="1" customFormat="1" ht="11.25"/>
    <row r="848" s="1" customFormat="1" ht="11.25"/>
    <row r="849" s="1" customFormat="1" ht="11.25"/>
    <row r="850" s="1" customFormat="1" ht="11.25"/>
    <row r="851" s="1" customFormat="1" ht="11.25"/>
    <row r="852" s="1" customFormat="1" ht="11.25"/>
    <row r="853" s="1" customFormat="1" ht="11.25"/>
    <row r="854" s="1" customFormat="1" ht="11.25"/>
    <row r="855" s="1" customFormat="1" ht="11.25"/>
    <row r="856" s="1" customFormat="1" ht="11.25"/>
    <row r="857" s="1" customFormat="1" ht="11.25"/>
    <row r="858" s="1" customFormat="1" ht="11.25"/>
    <row r="859" s="1" customFormat="1" ht="11.25"/>
    <row r="860" s="1" customFormat="1" ht="11.25"/>
    <row r="861" s="1" customFormat="1" ht="11.25"/>
    <row r="862" s="1" customFormat="1" ht="11.25"/>
    <row r="863" s="1" customFormat="1" ht="11.25"/>
    <row r="864" s="1" customFormat="1" ht="11.25"/>
    <row r="865" s="1" customFormat="1" ht="11.25"/>
    <row r="866" s="1" customFormat="1" ht="11.25"/>
    <row r="867" s="1" customFormat="1" ht="11.25"/>
    <row r="868" s="1" customFormat="1" ht="11.25"/>
    <row r="869" s="1" customFormat="1" ht="11.25"/>
    <row r="870" s="1" customFormat="1" ht="11.25"/>
    <row r="871" s="1" customFormat="1" ht="11.25"/>
    <row r="872" s="1" customFormat="1" ht="11.25"/>
    <row r="873" s="1" customFormat="1" ht="11.25"/>
    <row r="874" s="1" customFormat="1" ht="11.25"/>
    <row r="875" s="1" customFormat="1" ht="11.25"/>
    <row r="876" s="1" customFormat="1" ht="11.25"/>
    <row r="877" s="1" customFormat="1" ht="11.25"/>
    <row r="878" s="1" customFormat="1" ht="11.25"/>
    <row r="879" s="1" customFormat="1" ht="11.25"/>
    <row r="880" s="1" customFormat="1" ht="11.25"/>
    <row r="881" s="1" customFormat="1" ht="11.25"/>
    <row r="882" s="1" customFormat="1" ht="11.25"/>
    <row r="883" s="1" customFormat="1" ht="11.25"/>
    <row r="884" s="1" customFormat="1" ht="11.25"/>
    <row r="885" s="1" customFormat="1" ht="11.25"/>
    <row r="886" s="1" customFormat="1" ht="11.25"/>
    <row r="887" s="1" customFormat="1" ht="11.25"/>
    <row r="888" s="1" customFormat="1" ht="11.25"/>
    <row r="889" s="1" customFormat="1" ht="11.25"/>
    <row r="890" s="1" customFormat="1" ht="11.25"/>
    <row r="891" s="1" customFormat="1" ht="11.25"/>
    <row r="892" s="1" customFormat="1" ht="11.25"/>
    <row r="893" s="1" customFormat="1" ht="11.25"/>
    <row r="894" s="1" customFormat="1" ht="11.25"/>
    <row r="895" s="1" customFormat="1" ht="11.25"/>
    <row r="896" s="1" customFormat="1" ht="11.25"/>
    <row r="897" s="1" customFormat="1" ht="11.25"/>
    <row r="898" s="1" customFormat="1" ht="11.25"/>
    <row r="899" s="1" customFormat="1" ht="11.25"/>
    <row r="900" s="1" customFormat="1" ht="11.25"/>
    <row r="901" s="1" customFormat="1" ht="11.25"/>
    <row r="902" s="1" customFormat="1" ht="11.25"/>
    <row r="903" s="1" customFormat="1" ht="11.25"/>
    <row r="904" s="1" customFormat="1" ht="11.25"/>
    <row r="905" s="1" customFormat="1" ht="11.25"/>
    <row r="906" s="1" customFormat="1" ht="11.25"/>
    <row r="907" s="1" customFormat="1" ht="11.25"/>
    <row r="908" s="1" customFormat="1" ht="11.25"/>
    <row r="909" s="1" customFormat="1" ht="11.25"/>
    <row r="910" s="1" customFormat="1" ht="11.25"/>
    <row r="911" s="1" customFormat="1" ht="11.25"/>
    <row r="912" s="1" customFormat="1" ht="11.25"/>
    <row r="913" s="1" customFormat="1" ht="11.25"/>
    <row r="914" s="1" customFormat="1" ht="11.25"/>
    <row r="915" s="1" customFormat="1" ht="11.25"/>
    <row r="916" s="1" customFormat="1" ht="11.25"/>
    <row r="917" s="1" customFormat="1" ht="11.25"/>
    <row r="918" s="1" customFormat="1" ht="11.25"/>
    <row r="919" s="1" customFormat="1" ht="11.25"/>
    <row r="920" s="1" customFormat="1" ht="11.25"/>
    <row r="921" s="1" customFormat="1" ht="11.25"/>
    <row r="922" s="1" customFormat="1" ht="11.25"/>
    <row r="923" s="1" customFormat="1" ht="11.25"/>
    <row r="924" s="1" customFormat="1" ht="11.25"/>
    <row r="925" s="1" customFormat="1" ht="11.25"/>
    <row r="926" s="1" customFormat="1" ht="11.25"/>
    <row r="927" s="1" customFormat="1" ht="11.25"/>
    <row r="928" s="1" customFormat="1" ht="11.25"/>
    <row r="929" s="1" customFormat="1" ht="11.25"/>
    <row r="930" s="1" customFormat="1" ht="11.25"/>
    <row r="931" s="1" customFormat="1" ht="11.25"/>
    <row r="932" s="1" customFormat="1" ht="11.25"/>
    <row r="933" s="1" customFormat="1" ht="11.25"/>
    <row r="934" s="1" customFormat="1" ht="11.25"/>
    <row r="935" s="1" customFormat="1" ht="11.25"/>
    <row r="936" s="1" customFormat="1" ht="11.25"/>
    <row r="937" s="1" customFormat="1" ht="11.25"/>
    <row r="938" s="1" customFormat="1" ht="11.25"/>
    <row r="939" s="1" customFormat="1" ht="11.25"/>
    <row r="940" s="1" customFormat="1" ht="11.25"/>
    <row r="941" s="1" customFormat="1" ht="11.25"/>
    <row r="942" s="1" customFormat="1" ht="11.25"/>
    <row r="943" s="1" customFormat="1" ht="11.25"/>
    <row r="944" s="1" customFormat="1" ht="11.25"/>
    <row r="945" s="1" customFormat="1" ht="11.25"/>
    <row r="946" s="1" customFormat="1" ht="11.25"/>
    <row r="947" s="1" customFormat="1" ht="11.25"/>
    <row r="948" s="1" customFormat="1" ht="11.25"/>
    <row r="949" s="1" customFormat="1" ht="11.25"/>
    <row r="950" s="1" customFormat="1" ht="11.25"/>
    <row r="951" s="1" customFormat="1" ht="11.25"/>
    <row r="952" s="1" customFormat="1" ht="11.25"/>
    <row r="953" s="1" customFormat="1" ht="11.25"/>
    <row r="954" s="1" customFormat="1" ht="11.25"/>
    <row r="955" s="1" customFormat="1" ht="11.25"/>
    <row r="956" s="1" customFormat="1" ht="11.25"/>
    <row r="957" s="1" customFormat="1" ht="11.25"/>
    <row r="958" s="1" customFormat="1" ht="11.25"/>
    <row r="959" s="1" customFormat="1" ht="11.25"/>
    <row r="960" s="1" customFormat="1" ht="11.25"/>
    <row r="961" s="1" customFormat="1" ht="11.25"/>
    <row r="962" s="1" customFormat="1" ht="11.25"/>
    <row r="963" s="1" customFormat="1" ht="11.25"/>
    <row r="964" s="1" customFormat="1" ht="11.25"/>
    <row r="965" s="1" customFormat="1" ht="11.25"/>
    <row r="966" s="1" customFormat="1" ht="11.25"/>
    <row r="967" s="1" customFormat="1" ht="11.25"/>
    <row r="968" s="1" customFormat="1" ht="11.25"/>
    <row r="969" s="1" customFormat="1" ht="11.25"/>
    <row r="970" s="1" customFormat="1" ht="11.25"/>
    <row r="971" s="1" customFormat="1" ht="11.25"/>
    <row r="972" s="1" customFormat="1" ht="11.25"/>
    <row r="973" s="1" customFormat="1" ht="11.25"/>
    <row r="974" s="1" customFormat="1" ht="11.25"/>
    <row r="975" s="1" customFormat="1" ht="11.25"/>
    <row r="976" s="1" customFormat="1" ht="11.25"/>
    <row r="977" s="1" customFormat="1" ht="11.25"/>
    <row r="978" s="1" customFormat="1" ht="11.25"/>
    <row r="979" s="1" customFormat="1" ht="11.25"/>
    <row r="980" s="1" customFormat="1" ht="11.25"/>
    <row r="981" s="1" customFormat="1" ht="11.25"/>
    <row r="982" s="1" customFormat="1" ht="11.25"/>
    <row r="983" s="1" customFormat="1" ht="11.25"/>
    <row r="984" s="1" customFormat="1" ht="11.25"/>
    <row r="985" s="1" customFormat="1" ht="11.25"/>
    <row r="986" s="1" customFormat="1" ht="11.25"/>
    <row r="987" s="1" customFormat="1" ht="11.25"/>
    <row r="988" s="1" customFormat="1" ht="11.25"/>
    <row r="989" s="1" customFormat="1" ht="11.25"/>
    <row r="990" s="1" customFormat="1" ht="11.25"/>
    <row r="991" s="1" customFormat="1" ht="11.25"/>
    <row r="992" s="1" customFormat="1" ht="11.25"/>
    <row r="993" s="1" customFormat="1" ht="11.25"/>
    <row r="994" s="1" customFormat="1" ht="11.25"/>
    <row r="995" s="1" customFormat="1" ht="11.25"/>
    <row r="996" s="1" customFormat="1" ht="11.25"/>
    <row r="997" s="1" customFormat="1" ht="11.25"/>
    <row r="998" s="1" customFormat="1" ht="11.25"/>
    <row r="999" s="1" customFormat="1" ht="11.25"/>
    <row r="1000" s="1" customFormat="1" ht="11.25"/>
    <row r="1001" s="1" customFormat="1" ht="11.25"/>
    <row r="1002" s="1" customFormat="1" ht="11.25"/>
    <row r="1003" s="1" customFormat="1" ht="11.25"/>
    <row r="1004" s="1" customFormat="1" ht="11.25"/>
    <row r="1005" s="1" customFormat="1" ht="11.25"/>
    <row r="1006" s="1" customFormat="1" ht="11.25"/>
    <row r="1007" s="1" customFormat="1" ht="11.25"/>
    <row r="1008" s="1" customFormat="1" ht="11.25"/>
    <row r="1009" s="1" customFormat="1" ht="11.25"/>
    <row r="1010" s="1" customFormat="1" ht="11.25"/>
    <row r="1011" s="1" customFormat="1" ht="11.25"/>
    <row r="1012" s="1" customFormat="1" ht="11.25"/>
    <row r="1013" s="1" customFormat="1" ht="11.25"/>
    <row r="1014" s="1" customFormat="1" ht="11.25"/>
    <row r="1015" s="1" customFormat="1" ht="11.25"/>
    <row r="1016" s="1" customFormat="1" ht="11.25"/>
    <row r="1017" s="1" customFormat="1" ht="11.25"/>
    <row r="1018" s="1" customFormat="1" ht="11.25"/>
    <row r="1019" s="1" customFormat="1" ht="11.25"/>
    <row r="1020" s="1" customFormat="1" ht="11.25"/>
    <row r="1021" s="1" customFormat="1" ht="11.25"/>
    <row r="1022" s="1" customFormat="1" ht="11.25"/>
    <row r="1023" s="1" customFormat="1" ht="11.25"/>
    <row r="1024" s="1" customFormat="1" ht="11.25"/>
    <row r="1025" s="1" customFormat="1" ht="11.25"/>
    <row r="1026" s="1" customFormat="1" ht="11.25"/>
    <row r="1027" s="1" customFormat="1" ht="11.25"/>
    <row r="1028" s="1" customFormat="1" ht="11.25"/>
    <row r="1029" s="1" customFormat="1" ht="11.25"/>
    <row r="1030" s="1" customFormat="1" ht="11.25"/>
    <row r="1031" s="1" customFormat="1" ht="11.25"/>
    <row r="1032" s="1" customFormat="1" ht="11.25"/>
    <row r="1033" s="1" customFormat="1" ht="11.25"/>
    <row r="1034" s="1" customFormat="1" ht="11.25"/>
    <row r="1035" s="1" customFormat="1" ht="11.25"/>
    <row r="1036" s="1" customFormat="1" ht="11.25"/>
    <row r="1037" s="1" customFormat="1" ht="11.25"/>
    <row r="1038" s="1" customFormat="1" ht="11.25"/>
    <row r="1039" s="1" customFormat="1" ht="11.25"/>
    <row r="1040" s="1" customFormat="1" ht="11.25"/>
    <row r="1041" s="1" customFormat="1" ht="11.25"/>
    <row r="1042" s="1" customFormat="1" ht="11.25"/>
    <row r="1043" s="1" customFormat="1" ht="11.25"/>
    <row r="1044" s="1" customFormat="1" ht="11.25"/>
    <row r="1045" s="1" customFormat="1" ht="11.25"/>
    <row r="1046" s="1" customFormat="1" ht="11.25"/>
    <row r="1047" s="1" customFormat="1" ht="11.25"/>
    <row r="1048" s="1" customFormat="1" ht="11.25"/>
    <row r="1049" s="1" customFormat="1" ht="11.25"/>
    <row r="1050" s="1" customFormat="1" ht="11.25"/>
    <row r="1051" s="1" customFormat="1" ht="11.25"/>
    <row r="1052" s="1" customFormat="1" ht="11.25"/>
    <row r="1053" s="1" customFormat="1" ht="11.25"/>
    <row r="1054" s="1" customFormat="1" ht="11.25"/>
    <row r="1055" s="1" customFormat="1" ht="11.25"/>
    <row r="1056" s="1" customFormat="1" ht="11.25"/>
    <row r="1057" s="1" customFormat="1" ht="11.25"/>
    <row r="1058" s="1" customFormat="1" ht="11.25"/>
    <row r="1059" s="1" customFormat="1" ht="11.25"/>
    <row r="1060" s="1" customFormat="1" ht="11.25"/>
    <row r="1061" s="1" customFormat="1" ht="11.25"/>
    <row r="1062" s="1" customFormat="1" ht="11.25"/>
    <row r="1063" s="1" customFormat="1" ht="11.25"/>
    <row r="1064" s="1" customFormat="1" ht="11.25"/>
    <row r="1065" s="1" customFormat="1" ht="11.25"/>
    <row r="1066" s="1" customFormat="1" ht="11.25"/>
    <row r="1067" s="1" customFormat="1" ht="11.25"/>
    <row r="1068" s="1" customFormat="1" ht="11.25"/>
    <row r="1069" s="1" customFormat="1" ht="11.25"/>
    <row r="1070" s="1" customFormat="1" ht="11.25"/>
    <row r="1071" s="1" customFormat="1" ht="11.25"/>
    <row r="1072" s="1" customFormat="1" ht="11.25"/>
    <row r="1073" s="1" customFormat="1" ht="11.25"/>
    <row r="1074" s="1" customFormat="1" ht="11.25"/>
    <row r="1075" s="1" customFormat="1" ht="11.25"/>
    <row r="1076" s="1" customFormat="1" ht="11.25"/>
    <row r="1077" s="1" customFormat="1" ht="11.25"/>
    <row r="1078" s="1" customFormat="1" ht="11.25"/>
    <row r="1079" s="1" customFormat="1" ht="11.25"/>
    <row r="1080" s="1" customFormat="1" ht="11.25"/>
    <row r="1081" s="1" customFormat="1" ht="11.25"/>
    <row r="1082" s="1" customFormat="1" ht="11.25"/>
    <row r="1083" s="1" customFormat="1" ht="11.25"/>
    <row r="1084" s="1" customFormat="1" ht="11.25"/>
    <row r="1085" s="1" customFormat="1" ht="11.25"/>
    <row r="1086" s="1" customFormat="1" ht="11.25"/>
    <row r="1087" s="1" customFormat="1" ht="11.25"/>
    <row r="1088" s="1" customFormat="1" ht="11.25"/>
    <row r="1089" s="1" customFormat="1" ht="11.25"/>
    <row r="1090" s="1" customFormat="1" ht="11.25"/>
    <row r="1091" s="1" customFormat="1" ht="11.25"/>
    <row r="1092" s="1" customFormat="1" ht="11.25"/>
    <row r="1093" s="1" customFormat="1" ht="11.25"/>
    <row r="1094" s="1" customFormat="1" ht="11.25"/>
    <row r="1095" s="1" customFormat="1" ht="11.25"/>
    <row r="1096" s="1" customFormat="1" ht="11.25"/>
    <row r="1097" s="1" customFormat="1" ht="11.25"/>
    <row r="1098" s="1" customFormat="1" ht="11.25"/>
    <row r="1099" s="1" customFormat="1" ht="11.25"/>
    <row r="1100" s="1" customFormat="1" ht="11.25"/>
    <row r="1101" s="1" customFormat="1" ht="11.25"/>
    <row r="1102" s="1" customFormat="1" ht="11.25"/>
    <row r="1103" s="1" customFormat="1" ht="11.25"/>
    <row r="1104" s="1" customFormat="1" ht="11.25"/>
    <row r="1105" s="1" customFormat="1" ht="11.25"/>
    <row r="1106" s="1" customFormat="1" ht="11.25"/>
    <row r="1107" s="1" customFormat="1" ht="11.25"/>
    <row r="1108" s="1" customFormat="1" ht="11.25"/>
    <row r="1109" s="1" customFormat="1" ht="11.25"/>
    <row r="1110" s="1" customFormat="1" ht="11.25"/>
    <row r="1111" s="1" customFormat="1" ht="11.25"/>
    <row r="1112" s="1" customFormat="1" ht="11.25"/>
    <row r="1113" s="1" customFormat="1" ht="11.25"/>
    <row r="1114" s="1" customFormat="1" ht="11.25"/>
    <row r="1115" s="1" customFormat="1" ht="11.25"/>
    <row r="1116" s="1" customFormat="1" ht="11.25"/>
    <row r="1117" s="1" customFormat="1" ht="11.25"/>
    <row r="1118" s="1" customFormat="1" ht="11.25"/>
    <row r="1119" s="1" customFormat="1" ht="11.25"/>
    <row r="1120" s="1" customFormat="1" ht="11.25"/>
    <row r="1121" s="1" customFormat="1" ht="11.25"/>
    <row r="1122" s="1" customFormat="1" ht="11.25"/>
    <row r="1123" s="1" customFormat="1" ht="11.25"/>
    <row r="1124" s="1" customFormat="1" ht="11.25"/>
    <row r="1125" s="1" customFormat="1" ht="11.25"/>
    <row r="1126" s="1" customFormat="1" ht="11.25"/>
    <row r="1127" s="1" customFormat="1" ht="11.25"/>
    <row r="1128" s="1" customFormat="1" ht="11.25"/>
    <row r="1129" s="1" customFormat="1" ht="11.25"/>
    <row r="1130" s="1" customFormat="1" ht="11.25"/>
    <row r="1131" s="1" customFormat="1" ht="11.25"/>
    <row r="1132" s="1" customFormat="1" ht="11.25"/>
    <row r="1133" s="1" customFormat="1" ht="11.25"/>
    <row r="1134" s="1" customFormat="1" ht="11.25"/>
    <row r="1135" s="1" customFormat="1" ht="11.25"/>
    <row r="1136" s="1" customFormat="1" ht="11.25"/>
    <row r="1137" s="1" customFormat="1" ht="11.25"/>
    <row r="1138" s="1" customFormat="1" ht="11.25"/>
    <row r="1139" s="1" customFormat="1" ht="11.25"/>
    <row r="1140" s="1" customFormat="1" ht="11.25"/>
    <row r="1141" s="1" customFormat="1" ht="11.25"/>
    <row r="1142" s="1" customFormat="1" ht="11.25"/>
    <row r="1143" s="1" customFormat="1" ht="11.25"/>
    <row r="1144" s="1" customFormat="1" ht="11.25"/>
    <row r="1145" s="1" customFormat="1" ht="11.25"/>
    <row r="1146" s="1" customFormat="1" ht="11.25"/>
    <row r="1147" s="1" customFormat="1" ht="11.25"/>
    <row r="1148" s="1" customFormat="1" ht="11.25"/>
    <row r="1149" s="1" customFormat="1" ht="11.25"/>
    <row r="1150" s="1" customFormat="1" ht="11.25"/>
    <row r="1151" s="1" customFormat="1" ht="11.25"/>
    <row r="1152" s="1" customFormat="1" ht="11.25"/>
    <row r="1153" s="1" customFormat="1" ht="11.25"/>
    <row r="1154" s="1" customFormat="1" ht="11.25"/>
    <row r="1155" s="1" customFormat="1" ht="11.25"/>
    <row r="1156" s="1" customFormat="1" ht="11.25"/>
    <row r="1157" s="1" customFormat="1" ht="11.25"/>
    <row r="1158" s="1" customFormat="1" ht="11.25"/>
    <row r="1159" s="1" customFormat="1" ht="11.25"/>
    <row r="1160" s="1" customFormat="1" ht="11.25"/>
    <row r="1161" s="1" customFormat="1" ht="11.25"/>
    <row r="1162" s="1" customFormat="1" ht="11.25"/>
    <row r="1163" s="1" customFormat="1" ht="11.25"/>
    <row r="1164" s="1" customFormat="1" ht="11.25"/>
    <row r="1165" s="1" customFormat="1" ht="11.25"/>
    <row r="1166" s="1" customFormat="1" ht="11.25"/>
    <row r="1167" s="1" customFormat="1" ht="11.25"/>
    <row r="1168" s="1" customFormat="1" ht="11.25"/>
    <row r="1169" s="1" customFormat="1" ht="11.25"/>
    <row r="1170" s="1" customFormat="1" ht="11.25"/>
    <row r="1171" s="1" customFormat="1" ht="11.25"/>
    <row r="1172" s="1" customFormat="1" ht="11.25"/>
    <row r="1173" s="1" customFormat="1" ht="11.25"/>
    <row r="1174" s="1" customFormat="1" ht="11.25"/>
    <row r="1175" s="1" customFormat="1" ht="11.25"/>
    <row r="1176" s="1" customFormat="1" ht="11.25"/>
    <row r="1177" s="1" customFormat="1" ht="11.25"/>
    <row r="1178" s="1" customFormat="1" ht="11.25"/>
    <row r="1179" s="1" customFormat="1" ht="11.25"/>
    <row r="1180" s="1" customFormat="1" ht="11.25"/>
    <row r="1181" s="1" customFormat="1" ht="11.25"/>
    <row r="1182" s="1" customFormat="1" ht="11.25"/>
    <row r="1183" s="1" customFormat="1" ht="11.25"/>
    <row r="1184" s="1" customFormat="1" ht="11.25"/>
    <row r="1185" s="1" customFormat="1" ht="11.25"/>
    <row r="1186" s="1" customFormat="1" ht="11.25"/>
    <row r="1187" s="1" customFormat="1" ht="11.25"/>
    <row r="1188" s="1" customFormat="1" ht="11.25"/>
    <row r="1189" s="1" customFormat="1" ht="11.25"/>
    <row r="1190" s="1" customFormat="1" ht="11.25"/>
    <row r="1191" s="1" customFormat="1" ht="11.25"/>
    <row r="1192" s="1" customFormat="1" ht="11.25"/>
    <row r="1193" s="1" customFormat="1" ht="11.25"/>
    <row r="1194" s="1" customFormat="1" ht="11.25"/>
    <row r="1195" s="1" customFormat="1" ht="11.25"/>
    <row r="1196" s="1" customFormat="1" ht="11.25"/>
    <row r="1197" s="1" customFormat="1" ht="11.25"/>
    <row r="1198" s="1" customFormat="1" ht="11.25"/>
    <row r="1199" s="1" customFormat="1" ht="11.25"/>
    <row r="1200" s="1" customFormat="1" ht="11.25"/>
    <row r="1201" s="1" customFormat="1" ht="11.25"/>
    <row r="1202" s="1" customFormat="1" ht="11.25"/>
    <row r="1203" s="1" customFormat="1" ht="11.25"/>
    <row r="1204" s="1" customFormat="1" ht="11.25"/>
    <row r="1205" s="1" customFormat="1" ht="11.25"/>
    <row r="1206" s="1" customFormat="1" ht="11.25"/>
    <row r="1207" s="1" customFormat="1" ht="11.25"/>
    <row r="1208" s="1" customFormat="1" ht="11.25"/>
    <row r="1209" s="1" customFormat="1" ht="11.25"/>
    <row r="1210" s="1" customFormat="1" ht="11.25"/>
    <row r="1211" s="1" customFormat="1" ht="11.25"/>
    <row r="1212" s="1" customFormat="1" ht="11.25"/>
    <row r="1213" s="1" customFormat="1" ht="11.25"/>
    <row r="1214" s="1" customFormat="1" ht="11.25"/>
    <row r="1215" s="1" customFormat="1" ht="11.25"/>
    <row r="1216" s="1" customFormat="1" ht="11.25"/>
    <row r="1217" s="1" customFormat="1" ht="11.25"/>
    <row r="1218" s="1" customFormat="1" ht="11.25"/>
    <row r="1219" s="1" customFormat="1" ht="11.25"/>
    <row r="1220" s="1" customFormat="1" ht="11.25"/>
    <row r="1221" s="1" customFormat="1" ht="11.25"/>
    <row r="1222" s="1" customFormat="1" ht="11.25"/>
    <row r="1223" s="1" customFormat="1" ht="11.25"/>
    <row r="1224" s="1" customFormat="1" ht="11.25"/>
    <row r="1225" s="1" customFormat="1" ht="11.25"/>
    <row r="1226" s="1" customFormat="1" ht="11.25"/>
    <row r="1227" s="1" customFormat="1" ht="11.25"/>
    <row r="1228" s="1" customFormat="1" ht="11.25"/>
    <row r="1229" s="1" customFormat="1" ht="11.25"/>
    <row r="1230" s="1" customFormat="1" ht="11.25"/>
    <row r="1231" s="1" customFormat="1" ht="11.25"/>
    <row r="1232" s="1" customFormat="1" ht="11.25"/>
    <row r="1233" s="1" customFormat="1" ht="11.25"/>
    <row r="1234" s="1" customFormat="1" ht="11.25"/>
    <row r="1235" s="1" customFormat="1" ht="11.25"/>
    <row r="1236" s="1" customFormat="1" ht="11.25"/>
    <row r="1237" s="1" customFormat="1" ht="11.25"/>
    <row r="1238" s="1" customFormat="1" ht="11.25"/>
    <row r="1239" s="1" customFormat="1" ht="11.25"/>
    <row r="1240" s="1" customFormat="1" ht="11.25"/>
    <row r="1241" s="1" customFormat="1" ht="11.25"/>
    <row r="1242" s="1" customFormat="1" ht="11.25"/>
    <row r="1243" s="1" customFormat="1" ht="11.25"/>
    <row r="1244" s="1" customFormat="1" ht="11.25"/>
    <row r="1245" s="1" customFormat="1" ht="11.25"/>
    <row r="1246" s="1" customFormat="1" ht="11.25"/>
    <row r="1247" s="1" customFormat="1" ht="11.25"/>
    <row r="1248" s="1" customFormat="1" ht="11.25"/>
  </sheetData>
  <printOptions/>
  <pageMargins left="0" right="0" top="0" bottom="0" header="0.17" footer="0.21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2007-10-05T21:28:46Z</cp:lastPrinted>
  <dcterms:created xsi:type="dcterms:W3CDTF">2002-12-13T05:34:28Z</dcterms:created>
  <dcterms:modified xsi:type="dcterms:W3CDTF">2007-10-05T21:28:48Z</dcterms:modified>
  <cp:category/>
  <cp:version/>
  <cp:contentType/>
  <cp:contentStatus/>
</cp:coreProperties>
</file>